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0.10.11\Data\71 Fabrikanten\Grada\"/>
    </mc:Choice>
  </mc:AlternateContent>
  <xr:revisionPtr revIDLastSave="0" documentId="8_{95A314F5-DC0A-41D5-9242-9A00A611BEE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lectionData" sheetId="2" r:id="rId1"/>
    <sheet name="units" sheetId="4" state="hidden" r:id="rId2"/>
    <sheet name="TechData" sheetId="1" state="hidden" r:id="rId3"/>
    <sheet name="IntermediateCalcul" sheetId="3" state="hidden" r:id="rId4"/>
  </sheets>
  <definedNames>
    <definedName name="solver_adj" localSheetId="0" hidden="1">SelectionData!$C$3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SelectionData!$L$18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0.2</definedName>
    <definedName name="solver_ver" localSheetId="0" hidden="1">3</definedName>
    <definedName name="units">units!$A$1:$A$2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/>
  <c r="B11" i="2"/>
  <c r="B12" i="2"/>
  <c r="B13" i="2" l="1"/>
  <c r="K10" i="2"/>
  <c r="L10" i="2"/>
  <c r="M10" i="2"/>
  <c r="N10" i="2"/>
  <c r="O10" i="2"/>
  <c r="K11" i="2"/>
  <c r="L11" i="2"/>
  <c r="M11" i="2"/>
  <c r="N11" i="2"/>
  <c r="O11" i="2"/>
  <c r="K12" i="2"/>
  <c r="L12" i="2"/>
  <c r="M12" i="2"/>
  <c r="N12" i="2"/>
  <c r="O12" i="2"/>
  <c r="K13" i="2"/>
  <c r="L13" i="2"/>
  <c r="M13" i="2"/>
  <c r="N13" i="2"/>
  <c r="O13" i="2"/>
  <c r="J11" i="2"/>
  <c r="J12" i="2"/>
  <c r="J13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C11" i="2"/>
  <c r="C12" i="2"/>
  <c r="C13" i="2"/>
  <c r="N9" i="2" l="1"/>
  <c r="N16" i="2" s="1"/>
  <c r="O9" i="2"/>
  <c r="O18" i="2" s="1"/>
  <c r="N14" i="2"/>
  <c r="O14" i="2"/>
  <c r="N15" i="2"/>
  <c r="O15" i="2"/>
  <c r="O21" i="2"/>
  <c r="O16" i="2" l="1"/>
  <c r="O20" i="2"/>
  <c r="O19" i="2"/>
  <c r="O17" i="2"/>
  <c r="O22" i="2"/>
  <c r="O26" i="2" s="1"/>
  <c r="N17" i="2"/>
  <c r="N21" i="2"/>
  <c r="O31" i="2"/>
  <c r="N19" i="2"/>
  <c r="N22" i="2"/>
  <c r="N20" i="2"/>
  <c r="N18" i="2"/>
  <c r="B6" i="2"/>
  <c r="B22" i="2" s="1"/>
  <c r="N28" i="2" l="1"/>
  <c r="O32" i="2"/>
  <c r="O28" i="2"/>
  <c r="O27" i="2"/>
  <c r="O29" i="2"/>
  <c r="O30" i="2"/>
  <c r="N26" i="2"/>
  <c r="N31" i="2"/>
  <c r="N27" i="2"/>
  <c r="N30" i="2"/>
  <c r="N29" i="2"/>
  <c r="N32" i="2"/>
  <c r="B21" i="2"/>
  <c r="C14" i="2" l="1"/>
  <c r="D14" i="2"/>
  <c r="E14" i="2"/>
  <c r="F14" i="2"/>
  <c r="G14" i="2"/>
  <c r="H14" i="2"/>
  <c r="J14" i="2"/>
  <c r="K14" i="2"/>
  <c r="L14" i="2"/>
  <c r="M14" i="2"/>
  <c r="D15" i="2"/>
  <c r="E15" i="2"/>
  <c r="F15" i="2"/>
  <c r="G15" i="2"/>
  <c r="H15" i="2"/>
  <c r="J15" i="2"/>
  <c r="K15" i="2"/>
  <c r="L15" i="2"/>
  <c r="M15" i="2"/>
  <c r="C15" i="2"/>
  <c r="F33" i="2" l="1"/>
  <c r="C10" i="2" l="1"/>
  <c r="J10" i="2"/>
  <c r="D9" i="2"/>
  <c r="E9" i="2"/>
  <c r="F9" i="2"/>
  <c r="G9" i="2"/>
  <c r="H9" i="2"/>
  <c r="J9" i="2"/>
  <c r="K9" i="2"/>
  <c r="L9" i="2"/>
  <c r="M9" i="2"/>
  <c r="C9" i="2"/>
  <c r="A23" i="3"/>
  <c r="C19" i="3"/>
  <c r="D19" i="3"/>
  <c r="E19" i="3"/>
  <c r="F19" i="3"/>
  <c r="G19" i="3"/>
  <c r="H19" i="3"/>
  <c r="I19" i="3"/>
  <c r="J19" i="3"/>
  <c r="K19" i="3"/>
  <c r="B19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20" i="3"/>
  <c r="D20" i="3"/>
  <c r="E20" i="3"/>
  <c r="F20" i="3"/>
  <c r="G20" i="3"/>
  <c r="H20" i="3"/>
  <c r="I20" i="3"/>
  <c r="J20" i="3"/>
  <c r="K20" i="3"/>
  <c r="B20" i="3"/>
  <c r="B18" i="3"/>
  <c r="B17" i="3"/>
  <c r="B16" i="3"/>
  <c r="C9" i="3"/>
  <c r="D9" i="3"/>
  <c r="E9" i="3"/>
  <c r="F9" i="3"/>
  <c r="G9" i="3"/>
  <c r="H9" i="3"/>
  <c r="I9" i="3"/>
  <c r="J9" i="3"/>
  <c r="K9" i="3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B13" i="3"/>
  <c r="B12" i="3"/>
  <c r="B11" i="3"/>
  <c r="B10" i="3"/>
  <c r="B9" i="3"/>
  <c r="B2" i="3"/>
  <c r="C2" i="3"/>
  <c r="D2" i="3"/>
  <c r="E2" i="3"/>
  <c r="F2" i="3"/>
  <c r="G2" i="3"/>
  <c r="H2" i="3"/>
  <c r="I2" i="3"/>
  <c r="J2" i="3"/>
  <c r="K2" i="3"/>
  <c r="B3" i="3"/>
  <c r="C3" i="3"/>
  <c r="D3" i="3"/>
  <c r="E3" i="3"/>
  <c r="F3" i="3"/>
  <c r="G3" i="3"/>
  <c r="H3" i="3"/>
  <c r="I3" i="3"/>
  <c r="J3" i="3"/>
  <c r="K3" i="3"/>
  <c r="B4" i="3"/>
  <c r="C4" i="3"/>
  <c r="D4" i="3"/>
  <c r="E4" i="3"/>
  <c r="F4" i="3"/>
  <c r="G4" i="3"/>
  <c r="H4" i="3"/>
  <c r="I4" i="3"/>
  <c r="J4" i="3"/>
  <c r="K4" i="3"/>
  <c r="B5" i="3"/>
  <c r="C5" i="3"/>
  <c r="D5" i="3"/>
  <c r="E5" i="3"/>
  <c r="F5" i="3"/>
  <c r="G5" i="3"/>
  <c r="H5" i="3"/>
  <c r="I5" i="3"/>
  <c r="J5" i="3"/>
  <c r="K5" i="3"/>
  <c r="B6" i="3"/>
  <c r="C6" i="3"/>
  <c r="D6" i="3"/>
  <c r="E6" i="3"/>
  <c r="F6" i="3"/>
  <c r="G6" i="3"/>
  <c r="H6" i="3"/>
  <c r="I6" i="3"/>
  <c r="J6" i="3"/>
  <c r="K6" i="3"/>
  <c r="A3" i="3"/>
  <c r="A4" i="3"/>
  <c r="A5" i="3"/>
  <c r="A6" i="3"/>
  <c r="A2" i="3"/>
  <c r="J18" i="2" l="1"/>
  <c r="J21" i="2"/>
  <c r="J22" i="2"/>
  <c r="L20" i="2"/>
  <c r="L21" i="2"/>
  <c r="L22" i="2"/>
  <c r="K21" i="2"/>
  <c r="K22" i="2"/>
  <c r="M21" i="2"/>
  <c r="M22" i="2"/>
  <c r="H21" i="2"/>
  <c r="H22" i="2"/>
  <c r="E21" i="2"/>
  <c r="E22" i="2"/>
  <c r="G18" i="2"/>
  <c r="G22" i="2"/>
  <c r="G21" i="2"/>
  <c r="F21" i="2"/>
  <c r="F22" i="2"/>
  <c r="D21" i="2"/>
  <c r="D22" i="2"/>
  <c r="C22" i="2"/>
  <c r="C21" i="2"/>
  <c r="J19" i="2"/>
  <c r="J27" i="3"/>
  <c r="J25" i="3"/>
  <c r="J26" i="3"/>
  <c r="J24" i="3"/>
  <c r="F27" i="3"/>
  <c r="F25" i="3"/>
  <c r="F26" i="3"/>
  <c r="F24" i="3"/>
  <c r="J29" i="3"/>
  <c r="J28" i="3"/>
  <c r="F29" i="3"/>
  <c r="F28" i="3"/>
  <c r="M17" i="2"/>
  <c r="H17" i="2"/>
  <c r="L19" i="2"/>
  <c r="M18" i="2"/>
  <c r="I27" i="3"/>
  <c r="I25" i="3"/>
  <c r="I26" i="3"/>
  <c r="I24" i="3"/>
  <c r="I29" i="3"/>
  <c r="I28" i="3"/>
  <c r="L17" i="2"/>
  <c r="G17" i="2"/>
  <c r="H20" i="2"/>
  <c r="L18" i="2"/>
  <c r="L16" i="2"/>
  <c r="H26" i="3"/>
  <c r="H24" i="3"/>
  <c r="H27" i="3"/>
  <c r="H25" i="3"/>
  <c r="H28" i="3"/>
  <c r="H29" i="3"/>
  <c r="K17" i="2"/>
  <c r="G20" i="2"/>
  <c r="H19" i="2"/>
  <c r="G16" i="2"/>
  <c r="K26" i="3"/>
  <c r="K24" i="3"/>
  <c r="K27" i="3"/>
  <c r="K25" i="3"/>
  <c r="G26" i="3"/>
  <c r="G24" i="3"/>
  <c r="G27" i="3"/>
  <c r="G25" i="3"/>
  <c r="K28" i="3"/>
  <c r="K29" i="3"/>
  <c r="G28" i="3"/>
  <c r="G29" i="3"/>
  <c r="J17" i="2"/>
  <c r="M20" i="2"/>
  <c r="M19" i="2"/>
  <c r="G19" i="2"/>
  <c r="H18" i="2"/>
  <c r="C27" i="3"/>
  <c r="C26" i="3"/>
  <c r="C25" i="3"/>
  <c r="C24" i="3"/>
  <c r="C28" i="3"/>
  <c r="C29" i="3"/>
  <c r="C17" i="2"/>
  <c r="E17" i="2"/>
  <c r="B29" i="3"/>
  <c r="B28" i="3"/>
  <c r="D17" i="2"/>
  <c r="B27" i="3"/>
  <c r="B24" i="3"/>
  <c r="B25" i="3"/>
  <c r="B26" i="3"/>
  <c r="D27" i="3"/>
  <c r="D26" i="3"/>
  <c r="D25" i="3"/>
  <c r="D24" i="3"/>
  <c r="D28" i="3"/>
  <c r="D29" i="3"/>
  <c r="F17" i="2"/>
  <c r="E29" i="3"/>
  <c r="E26" i="3"/>
  <c r="E24" i="3"/>
  <c r="E27" i="3"/>
  <c r="E28" i="3"/>
  <c r="E25" i="3"/>
  <c r="D18" i="2"/>
  <c r="D19" i="2"/>
  <c r="E18" i="2"/>
  <c r="D20" i="2"/>
  <c r="K18" i="2"/>
  <c r="K19" i="2"/>
  <c r="K20" i="2"/>
  <c r="K16" i="2"/>
  <c r="F18" i="2"/>
  <c r="F20" i="2"/>
  <c r="F16" i="2"/>
  <c r="C18" i="2"/>
  <c r="C19" i="2"/>
  <c r="J16" i="2"/>
  <c r="E16" i="2"/>
  <c r="C16" i="2"/>
  <c r="C20" i="2"/>
  <c r="J20" i="2"/>
  <c r="E20" i="2"/>
  <c r="E19" i="2"/>
  <c r="M16" i="2"/>
  <c r="H16" i="2"/>
  <c r="D16" i="2"/>
  <c r="M28" i="2" l="1"/>
  <c r="M32" i="2"/>
  <c r="M29" i="2"/>
  <c r="M26" i="2"/>
  <c r="M30" i="2"/>
  <c r="M27" i="2"/>
  <c r="M31" i="2"/>
  <c r="J27" i="2"/>
  <c r="J31" i="2"/>
  <c r="J28" i="2"/>
  <c r="J32" i="2"/>
  <c r="J29" i="2"/>
  <c r="J26" i="2"/>
  <c r="J30" i="2"/>
  <c r="L29" i="2"/>
  <c r="L26" i="2"/>
  <c r="L30" i="2"/>
  <c r="L27" i="2"/>
  <c r="L31" i="2"/>
  <c r="L28" i="2"/>
  <c r="L32" i="2"/>
  <c r="G29" i="2"/>
  <c r="G26" i="2"/>
  <c r="G30" i="2"/>
  <c r="G27" i="2"/>
  <c r="G31" i="2"/>
  <c r="G28" i="2"/>
  <c r="G32" i="2"/>
  <c r="D28" i="2"/>
  <c r="D32" i="2"/>
  <c r="D29" i="2"/>
  <c r="D26" i="2"/>
  <c r="D30" i="2"/>
  <c r="D27" i="2"/>
  <c r="D31" i="2"/>
  <c r="C28" i="2"/>
  <c r="C26" i="2"/>
  <c r="C30" i="2"/>
  <c r="C27" i="2"/>
  <c r="C31" i="2"/>
  <c r="C29" i="2"/>
  <c r="C32" i="2"/>
  <c r="H28" i="2"/>
  <c r="H32" i="2"/>
  <c r="H29" i="2"/>
  <c r="H26" i="2"/>
  <c r="H30" i="2"/>
  <c r="H27" i="2"/>
  <c r="H31" i="2"/>
  <c r="E27" i="2"/>
  <c r="E31" i="2"/>
  <c r="E28" i="2"/>
  <c r="E32" i="2"/>
  <c r="E29" i="2"/>
  <c r="E26" i="2"/>
  <c r="E30" i="2"/>
  <c r="F26" i="2"/>
  <c r="F30" i="2"/>
  <c r="F27" i="2"/>
  <c r="F31" i="2"/>
  <c r="F28" i="2"/>
  <c r="F32" i="2"/>
  <c r="F29" i="2"/>
  <c r="K26" i="2"/>
  <c r="K30" i="2"/>
  <c r="K27" i="2"/>
  <c r="K31" i="2"/>
  <c r="K28" i="2"/>
  <c r="K32" i="2"/>
  <c r="K29" i="2"/>
  <c r="F19" i="2"/>
</calcChain>
</file>

<file path=xl/sharedStrings.xml><?xml version="1.0" encoding="utf-8"?>
<sst xmlns="http://schemas.openxmlformats.org/spreadsheetml/2006/main" count="198" uniqueCount="73">
  <si>
    <t>THROW</t>
  </si>
  <si>
    <t>B</t>
  </si>
  <si>
    <t>A</t>
  </si>
  <si>
    <t>PRESSURE LOSS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</si>
  <si>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</si>
  <si>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[m²]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</si>
  <si>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</si>
  <si>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 xml:space="preserve">duct </t>
    </r>
    <r>
      <rPr>
        <b/>
        <sz val="11"/>
        <color theme="1"/>
        <rFont val="Calibri"/>
        <family val="2"/>
        <scheme val="minor"/>
      </rPr>
      <t xml:space="preserve"> [m²]</t>
    </r>
  </si>
  <si>
    <t>SOUND POWER SPECTRUM</t>
  </si>
  <si>
    <t>SOUND POWER, NR</t>
  </si>
  <si>
    <t>SOUND POWER, dB(A)</t>
  </si>
  <si>
    <t>Selection Table</t>
  </si>
  <si>
    <t>[m³/h]</t>
  </si>
  <si>
    <t>[m/s]</t>
  </si>
  <si>
    <t>[m]</t>
  </si>
  <si>
    <t>[Pa]</t>
  </si>
  <si>
    <t>Sound Spectrum</t>
  </si>
  <si>
    <t>[Hz]</t>
  </si>
  <si>
    <r>
      <t>&lt; BGL : L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 xml:space="preserve"> below background level</t>
    </r>
  </si>
  <si>
    <t>critical distance</t>
  </si>
  <si>
    <t>[°C]</t>
  </si>
  <si>
    <t>flow rate, Q</t>
  </si>
  <si>
    <t>TEMPERATURE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</si>
  <si>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[-]</t>
    </r>
  </si>
  <si>
    <t>Type</t>
  </si>
  <si>
    <r>
      <t xml:space="preserve">CRITICAL DISTANCE (function of </t>
    </r>
    <r>
      <rPr>
        <b/>
        <sz val="12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T)</t>
    </r>
  </si>
  <si>
    <t>at 4°C</t>
  </si>
  <si>
    <t>at 6°C</t>
  </si>
  <si>
    <t>at 8°C</t>
  </si>
  <si>
    <t>at 10°C</t>
  </si>
  <si>
    <t>at 12°C</t>
  </si>
  <si>
    <t>at 125 Hz</t>
  </si>
  <si>
    <t>at 250 Hz</t>
  </si>
  <si>
    <t>at 500 Hz</t>
  </si>
  <si>
    <t>at 1 kHz</t>
  </si>
  <si>
    <t>at 2 kHz</t>
  </si>
  <si>
    <t>at 4 kHz</t>
  </si>
  <si>
    <t>at 8 kHz</t>
  </si>
  <si>
    <t>END</t>
  </si>
  <si>
    <t>Critical distance</t>
  </si>
  <si>
    <t>dT</t>
  </si>
  <si>
    <t>dT requested</t>
  </si>
  <si>
    <t>A1</t>
  </si>
  <si>
    <t>A2</t>
  </si>
  <si>
    <t>B1</t>
  </si>
  <si>
    <t>B2</t>
  </si>
  <si>
    <t>dT2</t>
  </si>
  <si>
    <t>dT1</t>
  </si>
  <si>
    <r>
      <t>throw, L</t>
    </r>
    <r>
      <rPr>
        <vertAlign val="subscript"/>
        <sz val="10"/>
        <color theme="1"/>
        <rFont val="Calibri"/>
        <family val="2"/>
        <scheme val="minor"/>
      </rPr>
      <t>T</t>
    </r>
  </si>
  <si>
    <r>
      <t>supply temperature, T</t>
    </r>
    <r>
      <rPr>
        <vertAlign val="subscript"/>
        <sz val="10"/>
        <color theme="1"/>
        <rFont val="Calibri"/>
        <family val="2"/>
        <scheme val="minor"/>
      </rPr>
      <t>s</t>
    </r>
  </si>
  <si>
    <r>
      <t>room temperature, T</t>
    </r>
    <r>
      <rPr>
        <vertAlign val="subscript"/>
        <sz val="10"/>
        <color theme="1"/>
        <rFont val="Calibri"/>
        <family val="2"/>
        <scheme val="minor"/>
      </rPr>
      <t>r</t>
    </r>
  </si>
  <si>
    <r>
      <t xml:space="preserve">static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s</t>
    </r>
  </si>
  <si>
    <r>
      <t xml:space="preserve">total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tot</t>
    </r>
  </si>
  <si>
    <r>
      <t>throw velocity, v</t>
    </r>
    <r>
      <rPr>
        <vertAlign val="subscript"/>
        <sz val="10"/>
        <color theme="1"/>
        <rFont val="Calibri"/>
        <family val="2"/>
      </rPr>
      <t>T</t>
    </r>
    <r>
      <rPr>
        <sz val="10"/>
        <color theme="1"/>
        <rFont val="Calibri"/>
        <family val="2"/>
      </rPr>
      <t xml:space="preserve"> @ L</t>
    </r>
    <r>
      <rPr>
        <vertAlign val="subscript"/>
        <sz val="10"/>
        <color theme="1"/>
        <rFont val="Calibri"/>
        <family val="2"/>
      </rPr>
      <t>T</t>
    </r>
    <r>
      <rPr>
        <sz val="10"/>
        <color theme="1"/>
        <rFont val="Calibri"/>
        <family val="2"/>
      </rPr>
      <t xml:space="preserve"> </t>
    </r>
  </si>
  <si>
    <r>
      <t>sound power, L</t>
    </r>
    <r>
      <rPr>
        <vertAlign val="subscript"/>
        <sz val="10"/>
        <color theme="1"/>
        <rFont val="Calibri"/>
        <family val="2"/>
      </rPr>
      <t>w</t>
    </r>
  </si>
  <si>
    <r>
      <t>L</t>
    </r>
    <r>
      <rPr>
        <b/>
        <vertAlign val="subscript"/>
        <sz val="10"/>
        <color theme="1"/>
        <rFont val="Calibri"/>
        <family val="2"/>
      </rPr>
      <t>w</t>
    </r>
    <r>
      <rPr>
        <b/>
        <sz val="10"/>
        <color theme="1"/>
        <rFont val="Calibri"/>
        <family val="2"/>
      </rPr>
      <t xml:space="preserve"> [dB]</t>
    </r>
  </si>
  <si>
    <t/>
  </si>
  <si>
    <r>
      <t>duct air velocity, V</t>
    </r>
    <r>
      <rPr>
        <vertAlign val="subscript"/>
        <sz val="10"/>
        <color theme="1"/>
        <rFont val="Calibri"/>
        <family val="2"/>
      </rPr>
      <t>duct</t>
    </r>
  </si>
  <si>
    <r>
      <t>effective air velocity, V</t>
    </r>
    <r>
      <rPr>
        <vertAlign val="subscript"/>
        <sz val="10"/>
        <color theme="1"/>
        <rFont val="Calibri"/>
        <family val="2"/>
      </rPr>
      <t>eff</t>
    </r>
  </si>
  <si>
    <t>dB(A)</t>
  </si>
  <si>
    <t>NR</t>
  </si>
  <si>
    <t>room attenuation</t>
  </si>
  <si>
    <t>acoustics unit</t>
  </si>
  <si>
    <r>
      <t>sound pressure, L</t>
    </r>
    <r>
      <rPr>
        <vertAlign val="subscript"/>
        <sz val="10"/>
        <color theme="1"/>
        <rFont val="Calibri"/>
        <family val="2"/>
      </rPr>
      <t>p</t>
    </r>
  </si>
  <si>
    <r>
      <t>air temperature @ L</t>
    </r>
    <r>
      <rPr>
        <vertAlign val="subscript"/>
        <sz val="10"/>
        <color theme="1"/>
        <rFont val="Calibri"/>
        <family val="2"/>
      </rPr>
      <t xml:space="preserve">T </t>
    </r>
  </si>
  <si>
    <t>horizontal</t>
  </si>
  <si>
    <t>vertical</t>
  </si>
  <si>
    <t>Flow pattern</t>
  </si>
  <si>
    <t>Position frontplate [mm]</t>
  </si>
  <si>
    <t>CS401</t>
  </si>
  <si>
    <t>100% (open)</t>
  </si>
  <si>
    <t>Damper position CS001</t>
  </si>
  <si>
    <t>Nominal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</si>
</sst>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0" xfId="0" applyFont="1"/>
    <xf numFmtId="0" fontId="4" fillId="0" borderId="0" xfId="0" applyFont="1"/>
    <xf numFmtId="0" fontId="0" fillId="2" borderId="6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7" xfId="0" applyFill="1" applyBorder="1"/>
    <xf numFmtId="0" fontId="1" fillId="2" borderId="9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6" fillId="0" borderId="0" xfId="0" applyFont="1"/>
    <xf numFmtId="0" fontId="0" fillId="2" borderId="10" xfId="0" applyFill="1" applyBorder="1"/>
    <xf numFmtId="0" fontId="0" fillId="2" borderId="11" xfId="0" applyFill="1" applyBorder="1"/>
    <xf numFmtId="0" fontId="1" fillId="2" borderId="12" xfId="0" applyFont="1" applyFill="1" applyBorder="1" applyAlignment="1">
      <alignment horizontal="right"/>
    </xf>
    <xf numFmtId="0" fontId="0" fillId="2" borderId="12" xfId="0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8" fillId="2" borderId="6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0" borderId="0" xfId="0" applyFont="1"/>
    <xf numFmtId="0" fontId="15" fillId="2" borderId="1" xfId="0" applyFont="1" applyFill="1" applyBorder="1"/>
    <xf numFmtId="1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9" fillId="0" borderId="0" xfId="0" applyFont="1"/>
    <xf numFmtId="2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3" borderId="1" xfId="0" applyFont="1" applyFill="1" applyBorder="1" applyAlignment="1" applyProtection="1">
      <alignment horizontal="center"/>
      <protection locked="0"/>
    </xf>
    <xf numFmtId="164" fontId="9" fillId="2" borderId="5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/>
    <xf numFmtId="0" fontId="9" fillId="0" borderId="6" xfId="0" applyFont="1" applyFill="1" applyBorder="1" applyAlignment="1">
      <alignment horizontal="center"/>
    </xf>
    <xf numFmtId="165" fontId="10" fillId="0" borderId="13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448236</xdr:colOff>
      <xdr:row>2</xdr:row>
      <xdr:rowOff>11206</xdr:rowOff>
    </xdr:from>
    <xdr:to>
      <xdr:col>7</xdr:col>
      <xdr:colOff>123912</xdr:colOff>
      <xdr:row>6</xdr:row>
      <xdr:rowOff>2241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618" y="437030"/>
          <a:ext cx="3709794" cy="68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123825</xdr:rowOff>
    </xdr:from>
    <xdr:to>
      <xdr:col>0</xdr:col>
      <xdr:colOff>638100</xdr:colOff>
      <xdr:row>11</xdr:row>
      <xdr:rowOff>76182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526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35</xdr:row>
      <xdr:rowOff>66675</xdr:rowOff>
    </xdr:from>
    <xdr:to>
      <xdr:col>0</xdr:col>
      <xdr:colOff>790575</xdr:colOff>
      <xdr:row>36</xdr:row>
      <xdr:rowOff>122306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2670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28</xdr:row>
      <xdr:rowOff>185457</xdr:rowOff>
    </xdr:from>
    <xdr:to>
      <xdr:col>0</xdr:col>
      <xdr:colOff>812987</xdr:colOff>
      <xdr:row>30</xdr:row>
      <xdr:rowOff>50588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31</xdr:row>
      <xdr:rowOff>185457</xdr:rowOff>
    </xdr:from>
    <xdr:ext cx="771525" cy="246131"/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6</xdr:row>
      <xdr:rowOff>54427</xdr:rowOff>
    </xdr:from>
    <xdr:to>
      <xdr:col>0</xdr:col>
      <xdr:colOff>1130860</xdr:colOff>
      <xdr:row>8</xdr:row>
      <xdr:rowOff>21678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6259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</xdr:row>
      <xdr:rowOff>123825</xdr:rowOff>
    </xdr:from>
    <xdr:to>
      <xdr:col>0</xdr:col>
      <xdr:colOff>638100</xdr:colOff>
      <xdr:row>11</xdr:row>
      <xdr:rowOff>76182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35</xdr:row>
      <xdr:rowOff>66675</xdr:rowOff>
    </xdr:from>
    <xdr:to>
      <xdr:col>0</xdr:col>
      <xdr:colOff>790575</xdr:colOff>
      <xdr:row>36</xdr:row>
      <xdr:rowOff>122306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28</xdr:row>
      <xdr:rowOff>185457</xdr:rowOff>
    </xdr:from>
    <xdr:to>
      <xdr:col>0</xdr:col>
      <xdr:colOff>812987</xdr:colOff>
      <xdr:row>30</xdr:row>
      <xdr:rowOff>50588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31</xdr:row>
      <xdr:rowOff>185457</xdr:rowOff>
    </xdr:from>
    <xdr:ext cx="771525" cy="246131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6</xdr:row>
      <xdr:rowOff>54427</xdr:rowOff>
    </xdr:from>
    <xdr:to>
      <xdr:col>0</xdr:col>
      <xdr:colOff>1130860</xdr:colOff>
      <xdr:row>8</xdr:row>
      <xdr:rowOff>21678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</xdr:row>
      <xdr:rowOff>123825</xdr:rowOff>
    </xdr:from>
    <xdr:to>
      <xdr:col>0</xdr:col>
      <xdr:colOff>638100</xdr:colOff>
      <xdr:row>11</xdr:row>
      <xdr:rowOff>76182</xdr:rowOff>
    </xdr:to>
    <xdr:pic>
      <xdr:nvPicPr>
        <xdr:cNvPr id="35" name="Afbeelding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35</xdr:row>
      <xdr:rowOff>66675</xdr:rowOff>
    </xdr:from>
    <xdr:to>
      <xdr:col>0</xdr:col>
      <xdr:colOff>790575</xdr:colOff>
      <xdr:row>36</xdr:row>
      <xdr:rowOff>122306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28</xdr:row>
      <xdr:rowOff>185457</xdr:rowOff>
    </xdr:from>
    <xdr:to>
      <xdr:col>0</xdr:col>
      <xdr:colOff>812987</xdr:colOff>
      <xdr:row>30</xdr:row>
      <xdr:rowOff>50588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31</xdr:row>
      <xdr:rowOff>185457</xdr:rowOff>
    </xdr:from>
    <xdr:ext cx="771525" cy="246131"/>
    <xdr:pic>
      <xdr:nvPicPr>
        <xdr:cNvPr id="39" name="Afbeelding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6</xdr:row>
      <xdr:rowOff>54427</xdr:rowOff>
    </xdr:from>
    <xdr:to>
      <xdr:col>0</xdr:col>
      <xdr:colOff>1130860</xdr:colOff>
      <xdr:row>8</xdr:row>
      <xdr:rowOff>21678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41" name="Afbeelding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showGridLines="0" tabSelected="1" zoomScaleNormal="100" workbookViewId="0">
      <selection activeCell="C2" sqref="C2"/>
    </sheetView>
  </sheetViews>
  <sheetFormatPr defaultRowHeight="15" x14ac:dyDescent="0.25"/>
  <cols>
    <col min="1" max="1" width="22.42578125" customWidth="1"/>
    <col min="2" max="2" width="20.7109375" customWidth="1"/>
    <col min="3" max="8" width="15.140625" customWidth="1"/>
    <col min="9" max="9" width="3.85546875" style="64" customWidth="1"/>
    <col min="10" max="15" width="15.140625" customWidth="1"/>
  </cols>
  <sheetData>
    <row r="1" spans="1:15" ht="21" x14ac:dyDescent="0.35">
      <c r="A1" s="5" t="s">
        <v>11</v>
      </c>
    </row>
    <row r="2" spans="1:15" s="49" customFormat="1" ht="12.75" x14ac:dyDescent="0.2">
      <c r="A2" s="47" t="s">
        <v>21</v>
      </c>
      <c r="B2" s="48" t="s">
        <v>12</v>
      </c>
      <c r="C2" s="57">
        <v>400</v>
      </c>
      <c r="I2" s="65"/>
    </row>
    <row r="3" spans="1:15" s="49" customFormat="1" ht="14.25" x14ac:dyDescent="0.25">
      <c r="A3" s="47" t="s">
        <v>48</v>
      </c>
      <c r="B3" s="48" t="s">
        <v>14</v>
      </c>
      <c r="C3" s="57">
        <v>3</v>
      </c>
      <c r="I3" s="65"/>
    </row>
    <row r="4" spans="1:15" s="49" customFormat="1" ht="14.25" x14ac:dyDescent="0.25">
      <c r="A4" s="47" t="s">
        <v>49</v>
      </c>
      <c r="B4" s="48" t="s">
        <v>20</v>
      </c>
      <c r="C4" s="57">
        <v>20</v>
      </c>
      <c r="I4" s="65"/>
    </row>
    <row r="5" spans="1:15" s="49" customFormat="1" ht="14.25" x14ac:dyDescent="0.25">
      <c r="A5" s="47" t="s">
        <v>50</v>
      </c>
      <c r="B5" s="48" t="s">
        <v>20</v>
      </c>
      <c r="C5" s="57">
        <v>20</v>
      </c>
      <c r="I5" s="65"/>
    </row>
    <row r="6" spans="1:15" s="49" customFormat="1" ht="12.75" x14ac:dyDescent="0.2">
      <c r="A6" s="47" t="s">
        <v>61</v>
      </c>
      <c r="B6" s="48" t="str">
        <f>CONCATENATE("[",C7,"]")</f>
        <v>[dB(A)]</v>
      </c>
      <c r="C6" s="57">
        <v>8</v>
      </c>
      <c r="I6" s="65"/>
    </row>
    <row r="7" spans="1:15" s="49" customFormat="1" ht="12.75" x14ac:dyDescent="0.2">
      <c r="A7" s="47" t="s">
        <v>62</v>
      </c>
      <c r="B7" s="48"/>
      <c r="C7" s="57" t="s">
        <v>59</v>
      </c>
      <c r="I7" s="65"/>
    </row>
    <row r="8" spans="1:15" s="49" customFormat="1" ht="12.75" x14ac:dyDescent="0.2">
      <c r="I8" s="65"/>
    </row>
    <row r="9" spans="1:15" s="49" customFormat="1" ht="12.75" x14ac:dyDescent="0.2">
      <c r="B9" s="72" t="str">
        <f>IF(ISBLANK(TechData!C1),"",TechData!C1)</f>
        <v>Type</v>
      </c>
      <c r="C9" s="26" t="str">
        <f>IF(ISBLANK(TechData!D1),"",TechData!D1)</f>
        <v>CS401</v>
      </c>
      <c r="D9" s="26" t="str">
        <f>IF(ISBLANK(TechData!E1),"",TechData!E1)</f>
        <v>CS401</v>
      </c>
      <c r="E9" s="26" t="str">
        <f>IF(ISBLANK(TechData!F1),"",TechData!F1)</f>
        <v>CS401</v>
      </c>
      <c r="F9" s="26" t="str">
        <f>IF(ISBLANK(TechData!G1),"",TechData!G1)</f>
        <v>CS401</v>
      </c>
      <c r="G9" s="26" t="str">
        <f>IF(ISBLANK(TechData!H1),"",TechData!H1)</f>
        <v>CS401</v>
      </c>
      <c r="H9" s="26" t="str">
        <f>IF(ISBLANK(TechData!I1),"",TechData!I1)</f>
        <v>CS401</v>
      </c>
      <c r="I9" s="66"/>
      <c r="J9" s="26" t="str">
        <f>IF(ISBLANK(TechData!J1),"",TechData!J1)</f>
        <v>CS401</v>
      </c>
      <c r="K9" s="26" t="str">
        <f>IF(ISBLANK(TechData!K1),"",TechData!K1)</f>
        <v>CS401</v>
      </c>
      <c r="L9" s="26" t="str">
        <f>IF(ISBLANK(TechData!L1),"",TechData!L1)</f>
        <v>CS401</v>
      </c>
      <c r="M9" s="27" t="str">
        <f>IF(ISBLANK(TechData!M1),"",TechData!M1)</f>
        <v>CS401</v>
      </c>
      <c r="N9" s="27" t="str">
        <f>IF(ISBLANK(TechData!N1),"",TechData!N1)</f>
        <v>CS401</v>
      </c>
      <c r="O9" s="27" t="str">
        <f>IF(ISBLANK(TechData!O1),"",TechData!O1)</f>
        <v>CS401</v>
      </c>
    </row>
    <row r="10" spans="1:15" s="49" customFormat="1" ht="12.75" x14ac:dyDescent="0.2">
      <c r="B10" s="72" t="str">
        <f>IF(ISBLANK(TechData!C2),"",TechData!C2)</f>
        <v>Nominal Size</v>
      </c>
      <c r="C10" s="26">
        <f>IF(ISBLANK(TechData!D2),"",TechData!D2)</f>
        <v>100</v>
      </c>
      <c r="D10" s="26">
        <f>IF(ISBLANK(TechData!E2),"",TechData!E2)</f>
        <v>125</v>
      </c>
      <c r="E10" s="26">
        <f>IF(ISBLANK(TechData!F2),"",TechData!F2)</f>
        <v>160</v>
      </c>
      <c r="F10" s="26">
        <f>IF(ISBLANK(TechData!G2),"",TechData!G2)</f>
        <v>200</v>
      </c>
      <c r="G10" s="26">
        <f>IF(ISBLANK(TechData!H2),"",TechData!H2)</f>
        <v>250</v>
      </c>
      <c r="H10" s="26">
        <f>IF(ISBLANK(TechData!I2),"",TechData!I2)</f>
        <v>315</v>
      </c>
      <c r="I10" s="66"/>
      <c r="J10" s="26">
        <f>IF(ISBLANK(TechData!J2),"",TechData!J2)</f>
        <v>100</v>
      </c>
      <c r="K10" s="26">
        <f>IF(ISBLANK(TechData!K2),"",TechData!K2)</f>
        <v>125</v>
      </c>
      <c r="L10" s="26">
        <f>IF(ISBLANK(TechData!L2),"",TechData!L2)</f>
        <v>160</v>
      </c>
      <c r="M10" s="26">
        <f>IF(ISBLANK(TechData!M2),"",TechData!M2)</f>
        <v>200</v>
      </c>
      <c r="N10" s="26">
        <f>IF(ISBLANK(TechData!N2),"",TechData!N2)</f>
        <v>250</v>
      </c>
      <c r="O10" s="27">
        <f>IF(ISBLANK(TechData!O2),"",TechData!O2)</f>
        <v>315</v>
      </c>
    </row>
    <row r="11" spans="1:15" s="49" customFormat="1" ht="12.75" x14ac:dyDescent="0.2">
      <c r="B11" s="72" t="str">
        <f>IF(ISBLANK(TechData!C3),"",TechData!C3)</f>
        <v>Flow pattern</v>
      </c>
      <c r="C11" s="26" t="str">
        <f>IF(ISBLANK(TechData!D3),"",TechData!D3)</f>
        <v>horizontal</v>
      </c>
      <c r="D11" s="26" t="str">
        <f>IF(ISBLANK(TechData!E3),"",TechData!E3)</f>
        <v>horizontal</v>
      </c>
      <c r="E11" s="26" t="str">
        <f>IF(ISBLANK(TechData!F3),"",TechData!F3)</f>
        <v>horizontal</v>
      </c>
      <c r="F11" s="26" t="str">
        <f>IF(ISBLANK(TechData!G3),"",TechData!G3)</f>
        <v>horizontal</v>
      </c>
      <c r="G11" s="26" t="str">
        <f>IF(ISBLANK(TechData!H3),"",TechData!H3)</f>
        <v>horizontal</v>
      </c>
      <c r="H11" s="26" t="str">
        <f>IF(ISBLANK(TechData!I3),"",TechData!I3)</f>
        <v>horizontal</v>
      </c>
      <c r="I11" s="66"/>
      <c r="J11" s="26" t="str">
        <f>IF(ISBLANK(TechData!J3),"",TechData!J3)</f>
        <v>vertical</v>
      </c>
      <c r="K11" s="26" t="str">
        <f>IF(ISBLANK(TechData!K3),"",TechData!K3)</f>
        <v>vertical</v>
      </c>
      <c r="L11" s="26" t="str">
        <f>IF(ISBLANK(TechData!L3),"",TechData!L3)</f>
        <v>vertical</v>
      </c>
      <c r="M11" s="26" t="str">
        <f>IF(ISBLANK(TechData!M3),"",TechData!M3)</f>
        <v>vertical</v>
      </c>
      <c r="N11" s="26" t="str">
        <f>IF(ISBLANK(TechData!N3),"",TechData!N3)</f>
        <v>vertical</v>
      </c>
      <c r="O11" s="27" t="str">
        <f>IF(ISBLANK(TechData!O3),"",TechData!O3)</f>
        <v>vertical</v>
      </c>
    </row>
    <row r="12" spans="1:15" s="49" customFormat="1" ht="12.75" x14ac:dyDescent="0.2">
      <c r="B12" s="72" t="str">
        <f>IF(ISBLANK(TechData!C4),"",TechData!C4)</f>
        <v>Position frontplate [mm]</v>
      </c>
      <c r="C12" s="26">
        <f>IF(ISBLANK(TechData!D4),"",TechData!D4)</f>
        <v>5</v>
      </c>
      <c r="D12" s="26">
        <f>IF(ISBLANK(TechData!E4),"",TechData!E4)</f>
        <v>5</v>
      </c>
      <c r="E12" s="26">
        <f>IF(ISBLANK(TechData!F4),"",TechData!F4)</f>
        <v>5</v>
      </c>
      <c r="F12" s="26">
        <f>IF(ISBLANK(TechData!G4),"",TechData!G4)</f>
        <v>5</v>
      </c>
      <c r="G12" s="26">
        <f>IF(ISBLANK(TechData!H4),"",TechData!H4)</f>
        <v>5</v>
      </c>
      <c r="H12" s="26">
        <f>IF(ISBLANK(TechData!I4),"",TechData!I4)</f>
        <v>5</v>
      </c>
      <c r="I12" s="66"/>
      <c r="J12" s="26">
        <f>IF(ISBLANK(TechData!J4),"",TechData!J4)</f>
        <v>0</v>
      </c>
      <c r="K12" s="26">
        <f>IF(ISBLANK(TechData!K4),"",TechData!K4)</f>
        <v>0</v>
      </c>
      <c r="L12" s="26">
        <f>IF(ISBLANK(TechData!L4),"",TechData!L4)</f>
        <v>-5</v>
      </c>
      <c r="M12" s="26">
        <f>IF(ISBLANK(TechData!M4),"",TechData!M4)</f>
        <v>-5</v>
      </c>
      <c r="N12" s="26">
        <f>IF(ISBLANK(TechData!N4),"",TechData!N4)</f>
        <v>-5</v>
      </c>
      <c r="O12" s="27">
        <f>IF(ISBLANK(TechData!O4),"",TechData!O4)</f>
        <v>-5</v>
      </c>
    </row>
    <row r="13" spans="1:15" s="49" customFormat="1" ht="12.75" x14ac:dyDescent="0.2">
      <c r="B13" s="72" t="str">
        <f>IF(ISBLANK(TechData!C5),"",TechData!C5)</f>
        <v>Damper position CS001</v>
      </c>
      <c r="C13" s="26" t="str">
        <f>IF(ISBLANK(TechData!D5),"",TechData!D5)</f>
        <v>100% (open)</v>
      </c>
      <c r="D13" s="26" t="str">
        <f>IF(ISBLANK(TechData!E5),"",TechData!E5)</f>
        <v>100% (open)</v>
      </c>
      <c r="E13" s="26" t="str">
        <f>IF(ISBLANK(TechData!F5),"",TechData!F5)</f>
        <v>100% (open)</v>
      </c>
      <c r="F13" s="26" t="str">
        <f>IF(ISBLANK(TechData!G5),"",TechData!G5)</f>
        <v>100% (open)</v>
      </c>
      <c r="G13" s="26" t="str">
        <f>IF(ISBLANK(TechData!H5),"",TechData!H5)</f>
        <v>100% (open)</v>
      </c>
      <c r="H13" s="26" t="str">
        <f>IF(ISBLANK(TechData!I5),"",TechData!I5)</f>
        <v>100% (open)</v>
      </c>
      <c r="I13" s="66"/>
      <c r="J13" s="26" t="str">
        <f>IF(ISBLANK(TechData!J5),"",TechData!J5)</f>
        <v>100% (open)</v>
      </c>
      <c r="K13" s="26" t="str">
        <f>IF(ISBLANK(TechData!K5),"",TechData!K5)</f>
        <v>100% (open)</v>
      </c>
      <c r="L13" s="26" t="str">
        <f>IF(ISBLANK(TechData!L5),"",TechData!L5)</f>
        <v>100% (open)</v>
      </c>
      <c r="M13" s="26" t="str">
        <f>IF(ISBLANK(TechData!M5),"",TechData!M5)</f>
        <v>100% (open)</v>
      </c>
      <c r="N13" s="26" t="str">
        <f>IF(ISBLANK(TechData!N5),"",TechData!N5)</f>
        <v>100% (open)</v>
      </c>
      <c r="O13" s="27" t="str">
        <f>IF(ISBLANK(TechData!O5),"",TechData!O5)</f>
        <v>100% (open)</v>
      </c>
    </row>
    <row r="14" spans="1:15" s="49" customFormat="1" ht="14.25" x14ac:dyDescent="0.25">
      <c r="A14" s="50" t="s">
        <v>57</v>
      </c>
      <c r="B14" s="48" t="s">
        <v>13</v>
      </c>
      <c r="C14" s="52">
        <f>$C$2/3600/TechData!D13</f>
        <v>14.147106052612918</v>
      </c>
      <c r="D14" s="52">
        <f>$C$2/3600/TechData!E13</f>
        <v>9.0541478736722674</v>
      </c>
      <c r="E14" s="52">
        <f>$C$2/3600/TechData!F13</f>
        <v>5.5262133018019215</v>
      </c>
      <c r="F14" s="52">
        <f>$C$2/3600/TechData!G13</f>
        <v>3.5367765131532294</v>
      </c>
      <c r="G14" s="52">
        <f>$C$2/3600/TechData!H13</f>
        <v>2.2635369684180668</v>
      </c>
      <c r="H14" s="52">
        <f>$C$2/3600/TechData!I13</f>
        <v>1.4257602471769129</v>
      </c>
      <c r="I14" s="67"/>
      <c r="J14" s="52">
        <f>$C$2/3600/TechData!J13</f>
        <v>14.147106052612918</v>
      </c>
      <c r="K14" s="52">
        <f>$C$2/3600/TechData!K13</f>
        <v>9.0541478736722674</v>
      </c>
      <c r="L14" s="52">
        <f>$C$2/3600/TechData!L13</f>
        <v>5.5262133018019215</v>
      </c>
      <c r="M14" s="52">
        <f>$C$2/3600/TechData!M13</f>
        <v>3.5367765131532294</v>
      </c>
      <c r="N14" s="52">
        <f>$C$2/3600/TechData!N13</f>
        <v>2.2635369684180668</v>
      </c>
      <c r="O14" s="52">
        <f>$C$2/3600/TechData!O13</f>
        <v>1.4257602471769129</v>
      </c>
    </row>
    <row r="15" spans="1:15" s="49" customFormat="1" ht="14.25" x14ac:dyDescent="0.25">
      <c r="A15" s="50" t="s">
        <v>58</v>
      </c>
      <c r="B15" s="48" t="s">
        <v>13</v>
      </c>
      <c r="C15" s="52">
        <f>$C$2/3600/TechData!D7</f>
        <v>20.773454877831384</v>
      </c>
      <c r="D15" s="52">
        <f>$C$2/3600/TechData!E7</f>
        <v>13.773501284613239</v>
      </c>
      <c r="E15" s="52">
        <f>$C$2/3600/TechData!F7</f>
        <v>8.4172549742376166</v>
      </c>
      <c r="F15" s="52">
        <f>$C$2/3600/TechData!G7</f>
        <v>6.0639875356303099</v>
      </c>
      <c r="G15" s="52">
        <f>$C$2/3600/TechData!H7</f>
        <v>4.7803088044759523</v>
      </c>
      <c r="H15" s="52">
        <f>$C$2/3600/TechData!I7</f>
        <v>4.1368515705468774</v>
      </c>
      <c r="I15" s="67"/>
      <c r="J15" s="52">
        <f>$C$2/3600/TechData!J7</f>
        <v>25.46383685495131</v>
      </c>
      <c r="K15" s="52">
        <f>$C$2/3600/TechData!K7</f>
        <v>15.911276556411716</v>
      </c>
      <c r="L15" s="52">
        <f>$C$2/3600/TechData!L7</f>
        <v>9.8772093497287887</v>
      </c>
      <c r="M15" s="52">
        <f>$C$2/3600/TechData!M7</f>
        <v>7.668015961047745</v>
      </c>
      <c r="N15" s="52">
        <f>$C$2/3600/TechData!N7</f>
        <v>6.1221669226266062</v>
      </c>
      <c r="O15" s="52">
        <f>$C$2/3600/TechData!O7</f>
        <v>5.0606967473193221</v>
      </c>
    </row>
    <row r="16" spans="1:15" s="49" customFormat="1" ht="14.25" x14ac:dyDescent="0.25">
      <c r="A16" s="50" t="s">
        <v>51</v>
      </c>
      <c r="B16" s="48" t="s">
        <v>15</v>
      </c>
      <c r="C16" s="51">
        <f>IF(C9="","",IF(ISBLANK(TechData!D11),"-",IF((SelectionData!$C$2/TechData!D11)^(1/TechData!D12)&lt;1,"&lt;1",(SelectionData!$C$2/TechData!D11)^(1/TechData!D12))))</f>
        <v>187.8726213505403</v>
      </c>
      <c r="D16" s="51">
        <f>IF(D9="","",IF(ISBLANK(TechData!E11),"-",IF((SelectionData!$C$2/TechData!E11)^(1/TechData!E12)&lt;1,"&lt;1",(SelectionData!$C$2/TechData!E11)^(1/TechData!E12))))</f>
        <v>119.39304772738144</v>
      </c>
      <c r="E16" s="51">
        <f>IF(E9="","",IF(ISBLANK(TechData!F11),"-",IF((SelectionData!$C$2/TechData!F11)^(1/TechData!F12)&lt;1,"&lt;1",(SelectionData!$C$2/TechData!F11)^(1/TechData!F12))))</f>
        <v>34.836317160870742</v>
      </c>
      <c r="F16" s="51">
        <f>IF(F9="","",IF(ISBLANK(TechData!G11),"-",IF((SelectionData!$C$2/TechData!G11)^(1/TechData!G12)&lt;1,"&lt;1",(SelectionData!$C$2/TechData!G11)^(1/TechData!G12))))</f>
        <v>20.765988914585623</v>
      </c>
      <c r="G16" s="51">
        <f>IF(G9="","",IF(ISBLANK(TechData!H11),"-",IF((SelectionData!$C$2/TechData!H11)^(1/TechData!H12)&lt;1,"&lt;1",(SelectionData!$C$2/TechData!H11)^(1/TechData!H12))))</f>
        <v>13.766722056116643</v>
      </c>
      <c r="H16" s="51">
        <f>IF(H9="","",IF(ISBLANK(TechData!I11),"-",IF((SelectionData!$C$2/TechData!I11)^(1/TechData!I12)&lt;1,"&lt;1",(SelectionData!$C$2/TechData!I11)^(1/TechData!I12))))</f>
        <v>9.4052545386701443</v>
      </c>
      <c r="I16" s="68"/>
      <c r="J16" s="51">
        <f>IF(J9="","",IF(ISBLANK(TechData!J11),"-",IF((SelectionData!$C$2/TechData!J11)^(1/TechData!J12)&lt;1,"&lt;1",(SelectionData!$C$2/TechData!J11)^(1/TechData!J12))))</f>
        <v>260.8779722701874</v>
      </c>
      <c r="K16" s="51">
        <f>IF(K9="","",IF(ISBLANK(TechData!K11),"-",IF((SelectionData!$C$2/TechData!K11)^(1/TechData!K12)&lt;1,"&lt;1",(SelectionData!$C$2/TechData!K11)^(1/TechData!K12))))</f>
        <v>162.47849827470736</v>
      </c>
      <c r="L16" s="51">
        <f>IF(L9="","",IF(ISBLANK(TechData!L11),"-",IF((SelectionData!$C$2/TechData!L11)^(1/TechData!L12)&lt;1,"&lt;1",(SelectionData!$C$2/TechData!L11)^(1/TechData!L12))))</f>
        <v>55.720058218171616</v>
      </c>
      <c r="M16" s="51">
        <f>IF(M9="","",IF(ISBLANK(TechData!M11),"-",IF((SelectionData!$C$2/TechData!M11)^(1/TechData!M12)&lt;1,"&lt;1",(SelectionData!$C$2/TechData!M11)^(1/TechData!M12))))</f>
        <v>35.786963244797789</v>
      </c>
      <c r="N16" s="51">
        <f>IF(N9="","",IF(ISBLANK(TechData!N11),"-",IF((SelectionData!$C$2/TechData!N11)^(1/TechData!N12)&lt;1,"&lt;1",(SelectionData!$C$2/TechData!N11)^(1/TechData!N12))))</f>
        <v>25.950721494641087</v>
      </c>
      <c r="O16" s="51">
        <f>IF(O9="","",IF(ISBLANK(TechData!O11),"-",IF((SelectionData!$C$2/TechData!O11)^(1/TechData!O12)&lt;1,"&lt;1",(SelectionData!$C$2/TechData!O11)^(1/TechData!O12))))</f>
        <v>18.433935610071646</v>
      </c>
    </row>
    <row r="17" spans="1:15" s="49" customFormat="1" ht="14.25" x14ac:dyDescent="0.25">
      <c r="A17" s="50" t="s">
        <v>52</v>
      </c>
      <c r="B17" s="48" t="s">
        <v>15</v>
      </c>
      <c r="C17" s="51">
        <f>IF(C9="","",IF(ISBLANK(TechData!D11),"-",IF((SelectionData!$C$2/TechData!D11)^(1/TechData!D12)+0.5*1.2*($C$2/3600/TechData!D13)^2&lt;1,"&lt;1",(SelectionData!$C$2/TechData!D11)^(1/TechData!D12)+0.5*1.2*($C$2/3600/TechData!D13)^2)))</f>
        <v>307.95698714886652</v>
      </c>
      <c r="D17" s="51">
        <f>IF(D9="","",IF(ISBLANK(TechData!E11),"-",IF((SelectionData!$C$2/TechData!E11)^(1/TechData!E12)+0.5*1.2*($C$2/3600/TechData!E13)^2&lt;1,"&lt;1",(SelectionData!$C$2/TechData!E11)^(1/TechData!E12)+0.5*1.2*($C$2/3600/TechData!E13)^2)))</f>
        <v>168.57960395837586</v>
      </c>
      <c r="E17" s="51">
        <f>IF(E9="","",IF(ISBLANK(TechData!F11),"-",IF((SelectionData!$C$2/TechData!F11)^(1/TechData!F12)+0.5*1.2*($C$2/3600/TechData!F13)^2&lt;1,"&lt;1",(SelectionData!$C$2/TechData!F11)^(1/TechData!F12)+0.5*1.2*($C$2/3600/TechData!F13)^2)))</f>
        <v>53.159737235078239</v>
      </c>
      <c r="F17" s="51">
        <f>IF(F9="","",IF(ISBLANK(TechData!G11),"-",IF((SelectionData!$C$2/TechData!G11)^(1/TechData!G12)+0.5*1.2*($C$2/3600/TechData!G13)^2&lt;1,"&lt;1",(SelectionData!$C$2/TechData!G11)^(1/TechData!G12)+0.5*1.2*($C$2/3600/TechData!G13)^2)))</f>
        <v>28.271261776981014</v>
      </c>
      <c r="G17" s="51">
        <f>IF(G9="","",IF(ISBLANK(TechData!H11),"-",IF((SelectionData!$C$2/TechData!H11)^(1/TechData!H12)+0.5*1.2*($C$2/3600/TechData!H13)^2&lt;1,"&lt;1",(SelectionData!$C$2/TechData!H11)^(1/TechData!H12)+0.5*1.2*($C$2/3600/TechData!H13)^2)))</f>
        <v>16.840881820553797</v>
      </c>
      <c r="H17" s="51">
        <f>IF(H9="","",IF(ISBLANK(TechData!I11),"-",IF((SelectionData!$C$2/TechData!I11)^(1/TechData!I12)+0.5*1.2*($C$2/3600/TechData!I13)^2&lt;1,"&lt;1",(SelectionData!$C$2/TechData!I11)^(1/TechData!I12)+0.5*1.2*($C$2/3600/TechData!I13)^2)))</f>
        <v>10.624929908128127</v>
      </c>
      <c r="I17" s="68"/>
      <c r="J17" s="51">
        <f>IF(J9="","",IF(ISBLANK(TechData!J11),"-",IF((SelectionData!$C$2/TechData!J11)^(1/TechData!J12)+0.5*1.2*($C$2/3600/TechData!J13)^2&lt;1,"&lt;1",(SelectionData!$C$2/TechData!J11)^(1/TechData!J12)+0.5*1.2*($C$2/3600/TechData!J13)^2)))</f>
        <v>380.96233806851365</v>
      </c>
      <c r="K17" s="51">
        <f>IF(K9="","",IF(ISBLANK(TechData!K11),"-",IF((SelectionData!$C$2/TechData!K11)^(1/TechData!K12)+0.5*1.2*($C$2/3600/TechData!K13)^2&lt;1,"&lt;1",(SelectionData!$C$2/TechData!K11)^(1/TechData!K12)+0.5*1.2*($C$2/3600/TechData!K13)^2)))</f>
        <v>211.66505450570179</v>
      </c>
      <c r="L17" s="51">
        <f>IF(L9="","",IF(ISBLANK(TechData!L11),"-",IF((SelectionData!$C$2/TechData!L11)^(1/TechData!L12)+0.5*1.2*($C$2/3600/TechData!L13)^2&lt;1,"&lt;1",(SelectionData!$C$2/TechData!L11)^(1/TechData!L12)+0.5*1.2*($C$2/3600/TechData!L13)^2)))</f>
        <v>74.043478292379106</v>
      </c>
      <c r="M17" s="51">
        <f>IF(M9="","",IF(ISBLANK(TechData!M11),"-",IF((SelectionData!$C$2/TechData!M11)^(1/TechData!M12)+0.5*1.2*($C$2/3600/TechData!M13)^2&lt;1,"&lt;1",(SelectionData!$C$2/TechData!M11)^(1/TechData!M12)+0.5*1.2*($C$2/3600/TechData!M13)^2)))</f>
        <v>43.292236107193176</v>
      </c>
      <c r="N17" s="51">
        <f>IF(N9="","",IF(ISBLANK(TechData!N11),"-",IF((SelectionData!$C$2/TechData!N11)^(1/TechData!N12)+0.5*1.2*($C$2/3600/TechData!N13)^2&lt;1,"&lt;1",(SelectionData!$C$2/TechData!N11)^(1/TechData!N12)+0.5*1.2*($C$2/3600/TechData!N13)^2)))</f>
        <v>29.024881259078239</v>
      </c>
      <c r="O17" s="51">
        <f>IF(O9="","",IF(ISBLANK(TechData!O11),"-",IF((SelectionData!$C$2/TechData!O11)^(1/TechData!O12)+0.5*1.2*($C$2/3600/TechData!O13)^2&lt;1,"&lt;1",(SelectionData!$C$2/TechData!O11)^(1/TechData!O12)+0.5*1.2*($C$2/3600/TechData!O13)^2)))</f>
        <v>19.653610979529631</v>
      </c>
    </row>
    <row r="18" spans="1:15" s="49" customFormat="1" ht="14.25" x14ac:dyDescent="0.25">
      <c r="A18" s="50" t="s">
        <v>53</v>
      </c>
      <c r="B18" s="48" t="s">
        <v>13</v>
      </c>
      <c r="C18" s="54">
        <f>IF(C9="","",IF(ISBLANK(TechData!D8),"-",IF(($C$2/3600/TechData!D7)*TechData!D8*SQRT(TechData!D7)/(SelectionData!$C$3-TechData!D9)&gt;0.75,"&gt;0.75",($C$2/3600/TechData!D7)*TechData!D8*SQRT(TechData!D7)/(SelectionData!$C$3-TechData!D9))))</f>
        <v>0.40788588953839328</v>
      </c>
      <c r="D18" s="54">
        <f>IF(D9="","",IF(ISBLANK(TechData!E8),"-",IF(($C$2/3600/TechData!E7)*TechData!E8*SQRT(TechData!E7)/(SelectionData!$C$3-TechData!E9)&gt;0.75,"&gt;0.75",($C$2/3600/TechData!E7)*TechData!E8*SQRT(TechData!E7)/(SelectionData!$C$3-TechData!E9))))</f>
        <v>0.37002299517348652</v>
      </c>
      <c r="E18" s="54">
        <f>IF(E9="","",IF(ISBLANK(TechData!F8),"-",IF(($C$2/3600/TechData!F7)*TechData!F8*SQRT(TechData!F7)/(SelectionData!$C$3-TechData!F9)&gt;0.75,"&gt;0.75",($C$2/3600/TechData!F7)*TechData!F8*SQRT(TechData!F7)/(SelectionData!$C$3-TechData!F9))))</f>
        <v>0.29594777816526646</v>
      </c>
      <c r="F18" s="54">
        <f>IF(F9="","",IF(ISBLANK(TechData!G8),"-",IF(($C$2/3600/TechData!G7)*TechData!G8*SQRT(TechData!G7)/(SelectionData!$C$3-TechData!G9)&gt;0.75,"&gt;0.75",($C$2/3600/TechData!G7)*TechData!G8*SQRT(TechData!G7)/(SelectionData!$C$3-TechData!G9))))</f>
        <v>0.22674914681471894</v>
      </c>
      <c r="G18" s="54">
        <f>IF(G9="","",IF(ISBLANK(TechData!H8),"-",IF(($C$2/3600/TechData!H7)*TechData!H8*SQRT(TechData!H7)/(SelectionData!$C$3-TechData!H9)&gt;0.75,"&gt;0.75",($C$2/3600/TechData!H7)*TechData!H8*SQRT(TechData!H7)/(SelectionData!$C$3-TechData!H9))))</f>
        <v>0.21893548430063192</v>
      </c>
      <c r="H18" s="54">
        <f>IF(H9="","",IF(ISBLANK(TechData!I8),"-",IF(($C$2/3600/TechData!I7)*TechData!I8*SQRT(TechData!I7)/(SelectionData!$C$3-TechData!I9)&gt;0.75,"&gt;0.75",($C$2/3600/TechData!I7)*TechData!I8*SQRT(TechData!I7)/(SelectionData!$C$3-TechData!I9))))</f>
        <v>0.1730916023634391</v>
      </c>
      <c r="I18" s="69"/>
      <c r="J18" s="54">
        <f>IF(J9="","",IF(ISBLANK(TechData!J8),"-",IF(($C$2/3600/TechData!J7)*TechData!J8*SQRT(TechData!J7)/(SelectionData!$C$3-TechData!J9)&gt;0.75,"&gt;0.75",($C$2/3600/TechData!J7)*TechData!J8*SQRT(TechData!J7)/(SelectionData!$C$3-TechData!J9))))</f>
        <v>0.71126974862028358</v>
      </c>
      <c r="K18" s="54">
        <f>IF(K9="","",IF(ISBLANK(TechData!K8),"-",IF(($C$2/3600/TechData!K7)*TechData!K8*SQRT(TechData!K7)/(SelectionData!$C$3-TechData!K9)&gt;0.75,"&gt;0.75",($C$2/3600/TechData!K7)*TechData!K8*SQRT(TechData!K7)/(SelectionData!$C$3-TechData!K9))))</f>
        <v>0.54874960037497122</v>
      </c>
      <c r="L18" s="54">
        <f>IF(L9="","",IF(ISBLANK(TechData!L8),"-",IF(($C$2/3600/TechData!L7)*TechData!L8*SQRT(TechData!L7)/(SelectionData!$C$3-TechData!L9)&gt;0.75,"&gt;0.75",($C$2/3600/TechData!L7)*TechData!L8*SQRT(TechData!L7)/(SelectionData!$C$3-TechData!L9))))</f>
        <v>0.44025057382812005</v>
      </c>
      <c r="M18" s="54">
        <f>IF(M9="","",IF(ISBLANK(TechData!M8),"-",IF(($C$2/3600/TechData!M7)*TechData!M8*SQRT(TechData!M7)/(SelectionData!$C$3-TechData!M9)&gt;0.75,"&gt;0.75",($C$2/3600/TechData!M7)*TechData!M8*SQRT(TechData!M7)/(SelectionData!$C$3-TechData!M9))))</f>
        <v>0.35814319421734753</v>
      </c>
      <c r="N18" s="54">
        <f>IF(N9="","",IF(ISBLANK(TechData!N8),"-",IF(($C$2/3600/TechData!N7)*TechData!N8*SQRT(TechData!N7)/(SelectionData!$C$3-TechData!N9)&gt;0.75,"&gt;0.75",($C$2/3600/TechData!N7)*TechData!N8*SQRT(TechData!N7)/(SelectionData!$C$3-TechData!N9))))</f>
        <v>0.31508036691976127</v>
      </c>
      <c r="O18" s="54">
        <f>IF(O9="","",IF(ISBLANK(TechData!O8),"-",IF(($C$2/3600/TechData!O7)*TechData!O8*SQRT(TechData!O7)/(SelectionData!$C$3-TechData!O9)&gt;0.75,"&gt;0.75",($C$2/3600/TechData!O7)*TechData!O8*SQRT(TechData!O7)/(SelectionData!$C$3-TechData!O9))))</f>
        <v>0.27727263794863671</v>
      </c>
    </row>
    <row r="19" spans="1:15" s="49" customFormat="1" ht="12.75" hidden="1" x14ac:dyDescent="0.2">
      <c r="A19" s="50" t="s">
        <v>19</v>
      </c>
      <c r="B19" s="48" t="s">
        <v>14</v>
      </c>
      <c r="C19" s="52" t="str">
        <f>IF(C9="","",IF(OR($C$4&gt;=$C$5,IntermediateCalcul!B9=""),"-",10^(FORECAST(ABS($C$4-$C$5),IntermediateCalcul!B$26:B$27,IntermediateCalcul!B$24:B$25)*LOG($C$2)+FORECAST(ABS($C$4-$C$5),IntermediateCalcul!B$28:B$29,IntermediateCalcul!B$24:B$25))))</f>
        <v>-</v>
      </c>
      <c r="D19" s="52" t="str">
        <f>IF(D9="","",IF(OR($C$4&gt;=$C$5,IntermediateCalcul!C9=""),"-",10^(FORECAST(ABS($C$4-$C$5),IntermediateCalcul!C$26:C$27,IntermediateCalcul!C$24:C$25)*LOG($C$2)+FORECAST(ABS($C$4-$C$5),IntermediateCalcul!C$28:C$29,IntermediateCalcul!C$24:C$25))))</f>
        <v>-</v>
      </c>
      <c r="E19" s="52" t="str">
        <f>IF(E9="","",IF(OR($C$4&gt;=$C$5,IntermediateCalcul!D9=""),"-",10^(FORECAST(ABS($C$4-$C$5),IntermediateCalcul!D$26:D$27,IntermediateCalcul!D$24:D$25)*LOG($C$2)+FORECAST(ABS($C$4-$C$5),IntermediateCalcul!D$28:D$29,IntermediateCalcul!D$24:D$25))))</f>
        <v>-</v>
      </c>
      <c r="F19" s="52" t="str">
        <f>IF(F9="","",IF(OR($C$4&gt;=$C$5,IntermediateCalcul!E9=""),"-",10^(FORECAST(ABS($C$4-$C$5),IntermediateCalcul!E$26:E$27,IntermediateCalcul!E$24:E$25)*LOG($C$2)+FORECAST(ABS($C$4-$C$5),IntermediateCalcul!E$28:E$29,IntermediateCalcul!E$24:E$25))))</f>
        <v>-</v>
      </c>
      <c r="G19" s="52" t="str">
        <f>IF(G9="","",IF(OR($C$4&gt;=$C$5,IntermediateCalcul!F9=""),"-",10^(FORECAST(ABS($C$4-$C$5),IntermediateCalcul!F$26:F$27,IntermediateCalcul!F$24:F$25)*LOG($C$2)+FORECAST(ABS($C$4-$C$5),IntermediateCalcul!F$28:F$29,IntermediateCalcul!F$24:F$25))))</f>
        <v>-</v>
      </c>
      <c r="H19" s="52" t="str">
        <f>IF(H9="","",IF(OR($C$4&gt;=$C$5,IntermediateCalcul!G9=""),"-",10^(FORECAST(ABS($C$4-$C$5),IntermediateCalcul!G$26:G$27,IntermediateCalcul!G$24:G$25)*LOG($C$2)+FORECAST(ABS($C$4-$C$5),IntermediateCalcul!G$28:G$29,IntermediateCalcul!G$24:G$25))))</f>
        <v>-</v>
      </c>
      <c r="I19" s="67"/>
      <c r="J19" s="52" t="str">
        <f>IF(J9="","",IF(OR($C$4&gt;=$C$5,IntermediateCalcul!H9=""),"-",10^(FORECAST(ABS($C$4-$C$5),IntermediateCalcul!H$26:H$27,IntermediateCalcul!H$24:H$25)*LOG($C$2)+FORECAST(ABS($C$4-$C$5),IntermediateCalcul!H$28:H$29,IntermediateCalcul!H$24:H$25))))</f>
        <v>-</v>
      </c>
      <c r="K19" s="52" t="str">
        <f>IF(K9="","",IF(OR($C$4&gt;=$C$5,IntermediateCalcul!I9=""),"-",10^(FORECAST(ABS($C$4-$C$5),IntermediateCalcul!I$26:I$27,IntermediateCalcul!I$24:I$25)*LOG($C$2)+FORECAST(ABS($C$4-$C$5),IntermediateCalcul!I$28:I$29,IntermediateCalcul!I$24:I$25))))</f>
        <v>-</v>
      </c>
      <c r="L19" s="52" t="str">
        <f>IF(L9="","",IF(OR($C$4&gt;=$C$5,IntermediateCalcul!J9=""),"-",10^(FORECAST(ABS($C$4-$C$5),IntermediateCalcul!J$26:J$27,IntermediateCalcul!J$24:J$25)*LOG($C$2)+FORECAST(ABS($C$4-$C$5),IntermediateCalcul!J$28:J$29,IntermediateCalcul!J$24:J$25))))</f>
        <v>-</v>
      </c>
      <c r="M19" s="52" t="str">
        <f>IF(M9="","",IF(OR($C$4&gt;=$C$5,IntermediateCalcul!K9=""),"-",10^(FORECAST(ABS($C$4-$C$5),IntermediateCalcul!K$26:K$27,IntermediateCalcul!K$24:K$25)*LOG($C$2)+FORECAST(ABS($C$4-$C$5),IntermediateCalcul!K$28:K$29,IntermediateCalcul!K$24:K$25))))</f>
        <v>-</v>
      </c>
      <c r="N19" s="52" t="str">
        <f>IF(N9="","",IF(OR($C$4&gt;=$C$5,IntermediateCalcul!L9=""),"-",10^(FORECAST(ABS($C$4-$C$5),IntermediateCalcul!L$26:L$27,IntermediateCalcul!L$24:L$25)*LOG($C$2)+FORECAST(ABS($C$4-$C$5),IntermediateCalcul!L$28:L$29,IntermediateCalcul!L$24:L$25))))</f>
        <v>-</v>
      </c>
      <c r="O19" s="52" t="str">
        <f>IF(O9="","",IF(OR($C$4&gt;=$C$5,IntermediateCalcul!M9=""),"-",10^(FORECAST(ABS($C$4-$C$5),IntermediateCalcul!M$26:M$27,IntermediateCalcul!M$24:M$25)*LOG($C$2)+FORECAST(ABS($C$4-$C$5),IntermediateCalcul!M$28:M$29,IntermediateCalcul!M$24:M$25))))</f>
        <v>-</v>
      </c>
    </row>
    <row r="20" spans="1:15" s="49" customFormat="1" ht="14.25" hidden="1" x14ac:dyDescent="0.25">
      <c r="A20" s="50" t="s">
        <v>64</v>
      </c>
      <c r="B20" s="48" t="s">
        <v>20</v>
      </c>
      <c r="C20" s="52" t="str">
        <f>IF(C9="","",IF(OR(ISBLANK(TechData!D27),$C$5&lt;$C$4),"-",(TechData!D27*SQRT(TechData!D26)/(SelectionData!$C$3-TechData!D28)*(SelectionData!$C$4-SelectionData!$C$5)+(SelectionData!$C$5+273.15))-273.15))</f>
        <v>-</v>
      </c>
      <c r="D20" s="52" t="str">
        <f>IF(D9="","",IF(OR(ISBLANK(TechData!E27),$C$5&lt;$C$4),"-",(TechData!E27*SQRT(TechData!E26)/(SelectionData!$C$3-TechData!E28)*(SelectionData!$C$4-SelectionData!$C$5)+(SelectionData!$C$5+273.15))-273.15))</f>
        <v>-</v>
      </c>
      <c r="E20" s="52" t="str">
        <f>IF(E9="","",IF(OR(ISBLANK(TechData!F27),$C$5&lt;$C$4),"-",(TechData!F27*SQRT(TechData!F26)/(SelectionData!$C$3-TechData!F28)*(SelectionData!$C$4-SelectionData!$C$5)+(SelectionData!$C$5+273.15))-273.15))</f>
        <v>-</v>
      </c>
      <c r="F20" s="52" t="str">
        <f>IF(F9="","",IF(OR(ISBLANK(TechData!G27),$C$5&lt;$C$4),"-",(TechData!G27*SQRT(TechData!G26)/(SelectionData!$C$3-TechData!G28)*(SelectionData!$C$4-SelectionData!$C$5)+(SelectionData!$C$5+273.15))-273.15))</f>
        <v>-</v>
      </c>
      <c r="G20" s="52" t="str">
        <f>IF(G9="","",IF(OR(ISBLANK(TechData!H27),$C$5&lt;$C$4),"-",(TechData!H27*SQRT(TechData!H26)/(SelectionData!$C$3-TechData!H28)*(SelectionData!$C$4-SelectionData!$C$5)+(SelectionData!$C$5+273.15))-273.15))</f>
        <v>-</v>
      </c>
      <c r="H20" s="52" t="str">
        <f>IF(H9="","",IF(OR(ISBLANK(TechData!I27),$C$5&lt;$C$4),"-",(TechData!I27*SQRT(TechData!I26)/(SelectionData!$C$3-TechData!I28)*(SelectionData!$C$4-SelectionData!$C$5)+(SelectionData!$C$5+273.15))-273.15))</f>
        <v>-</v>
      </c>
      <c r="I20" s="67"/>
      <c r="J20" s="52" t="str">
        <f>IF(J9="","",IF(OR(ISBLANK(TechData!J27),$C$5&lt;$C$4),"-",(TechData!J27*SQRT(TechData!J26)/(SelectionData!$C$3-TechData!J28)*(SelectionData!$C$4-SelectionData!$C$5)+(SelectionData!$C$5+273.15))-273.15))</f>
        <v>-</v>
      </c>
      <c r="K20" s="52" t="str">
        <f>IF(K9="","",IF(OR(ISBLANK(TechData!K27),$C$5&lt;$C$4),"-",(TechData!K27*SQRT(TechData!K26)/(SelectionData!$C$3-TechData!K28)*(SelectionData!$C$4-SelectionData!$C$5)+(SelectionData!$C$5+273.15))-273.15))</f>
        <v>-</v>
      </c>
      <c r="L20" s="52" t="str">
        <f>IF(L9="","",IF(OR(ISBLANK(TechData!L27),$C$5&lt;$C$4),"-",(TechData!L27*SQRT(TechData!L26)/(SelectionData!$C$3-TechData!L28)*(SelectionData!$C$4-SelectionData!$C$5)+(SelectionData!$C$5+273.15))-273.15))</f>
        <v>-</v>
      </c>
      <c r="M20" s="52" t="str">
        <f>IF(M9="","",IF(OR(ISBLANK(TechData!M27),$C$5&lt;$C$4),"-",(TechData!M27*SQRT(TechData!M26)/(SelectionData!$C$3-TechData!M28)*(SelectionData!$C$4-SelectionData!$C$5)+(SelectionData!$C$5+273.15))-273.15))</f>
        <v>-</v>
      </c>
      <c r="N20" s="52" t="str">
        <f>IF(N9="","",IF(OR(ISBLANK(TechData!N27),$C$5&lt;$C$4),"-",(TechData!N27*SQRT(TechData!N26)/(SelectionData!$C$3-TechData!N28)*(SelectionData!$C$4-SelectionData!$C$5)+(SelectionData!$C$5+273.15))-273.15))</f>
        <v>-</v>
      </c>
      <c r="O20" s="52" t="str">
        <f>IF(O9="","",IF(OR(ISBLANK(TechData!O27),$C$5&lt;$C$4),"-",(TechData!O27*SQRT(TechData!O26)/(SelectionData!$C$3-TechData!O28)*(SelectionData!$C$4-SelectionData!$C$5)+(SelectionData!$C$5+273.15))-273.15))</f>
        <v>-</v>
      </c>
    </row>
    <row r="21" spans="1:15" s="49" customFormat="1" ht="14.25" x14ac:dyDescent="0.25">
      <c r="A21" s="50" t="s">
        <v>54</v>
      </c>
      <c r="B21" s="48" t="str">
        <f>B6</f>
        <v>[dB(A)]</v>
      </c>
      <c r="C21" s="51" t="str">
        <f>IF($C$7="NR",IF(C9="","",IF(ISBLANK(TechData!D30),"-",IF(TechData!D30*LN(SelectionData!$C$2)+TechData!D31&lt;15,"&lt;15",IF(TechData!D30*LN(SelectionData!$C$2)+TechData!D31&gt;50,"&gt;50",TechData!D30*LN(SelectionData!$C$2)+TechData!D31)))),IF(C9="","",IF(ISBLANK(TechData!D33),"-",IF(TechData!D33*LN(SelectionData!$C$2)+TechData!D34&lt;20,"&lt;20",IF(TechData!D33*LN(SelectionData!$C$2)+TechData!D34&gt;55,"&gt;55",TechData!D33*LN(SelectionData!$C$2)+TechData!D34)))))</f>
        <v>&gt;55</v>
      </c>
      <c r="D21" s="51" t="str">
        <f>IF($C$7="NR",IF(D9="","",IF(ISBLANK(TechData!E30),"-",IF(TechData!E30*LN(SelectionData!$C$2)+TechData!E31&lt;15,"&lt;15",IF(TechData!E30*LN(SelectionData!$C$2)+TechData!E31&gt;50,"&gt;50",TechData!E30*LN(SelectionData!$C$2)+TechData!E31)))),IF(D9="","",IF(ISBLANK(TechData!E33),"-",IF(TechData!E33*LN(SelectionData!$C$2)+TechData!E34&lt;20,"&lt;20",IF(TechData!E33*LN(SelectionData!$C$2)+TechData!E34&gt;55,"&gt;55",TechData!E33*LN(SelectionData!$C$2)+TechData!E34)))))</f>
        <v>&gt;55</v>
      </c>
      <c r="E21" s="51">
        <f>IF($C$7="NR",IF(E9="","",IF(ISBLANK(TechData!F30),"-",IF(TechData!F30*LN(SelectionData!$C$2)+TechData!F31&lt;15,"&lt;15",IF(TechData!F30*LN(SelectionData!$C$2)+TechData!F31&gt;50,"&gt;50",TechData!F30*LN(SelectionData!$C$2)+TechData!F31)))),IF(E9="","",IF(ISBLANK(TechData!F33),"-",IF(TechData!F33*LN(SelectionData!$C$2)+TechData!F34&lt;20,"&lt;20",IF(TechData!F33*LN(SelectionData!$C$2)+TechData!F34&gt;55,"&gt;55",TechData!F33*LN(SelectionData!$C$2)+TechData!F34)))))</f>
        <v>42.727458951151817</v>
      </c>
      <c r="F21" s="51">
        <f>IF($C$7="NR",IF(F9="","",IF(ISBLANK(TechData!G30),"-",IF(TechData!G30*LN(SelectionData!$C$2)+TechData!G31&lt;15,"&lt;15",IF(TechData!G30*LN(SelectionData!$C$2)+TechData!G31&gt;50,"&gt;50",TechData!G30*LN(SelectionData!$C$2)+TechData!G31)))),IF(F9="","",IF(ISBLANK(TechData!G33),"-",IF(TechData!G33*LN(SelectionData!$C$2)+TechData!G34&lt;20,"&lt;20",IF(TechData!G33*LN(SelectionData!$C$2)+TechData!G34&gt;55,"&gt;55",TechData!G33*LN(SelectionData!$C$2)+TechData!G34)))))</f>
        <v>32.160771682026706</v>
      </c>
      <c r="G21" s="51">
        <f>IF($C$7="NR",IF(G9="","",IF(ISBLANK(TechData!H30),"-",IF(TechData!H30*LN(SelectionData!$C$2)+TechData!H31&lt;15,"&lt;15",IF(TechData!H30*LN(SelectionData!$C$2)+TechData!H31&gt;50,"&gt;50",TechData!H30*LN(SelectionData!$C$2)+TechData!H31)))),IF(G9="","",IF(ISBLANK(TechData!H33),"-",IF(TechData!H33*LN(SelectionData!$C$2)+TechData!H34&lt;20,"&lt;20",IF(TechData!H33*LN(SelectionData!$C$2)+TechData!H34&gt;55,"&gt;55",TechData!H33*LN(SelectionData!$C$2)+TechData!H34)))))</f>
        <v>22.606315904841182</v>
      </c>
      <c r="H21" s="51" t="str">
        <f>IF($C$7="NR",IF(H9="","",IF(ISBLANK(TechData!I30),"-",IF(TechData!I30*LN(SelectionData!$C$2)+TechData!I31&lt;15,"&lt;15",IF(TechData!I30*LN(SelectionData!$C$2)+TechData!I31&gt;50,"&gt;50",TechData!I30*LN(SelectionData!$C$2)+TechData!I31)))),IF(H9="","",IF(ISBLANK(TechData!I33),"-",IF(TechData!I33*LN(SelectionData!$C$2)+TechData!I34&lt;20,"&lt;20",IF(TechData!I33*LN(SelectionData!$C$2)+TechData!I34&gt;55,"&gt;55",TechData!I33*LN(SelectionData!$C$2)+TechData!I34)))))</f>
        <v>&lt;20</v>
      </c>
      <c r="I21" s="68"/>
      <c r="J21" s="51" t="str">
        <f>IF($C$7="NR",IF(J9="","",IF(ISBLANK(TechData!J30),"-",IF(TechData!J30*LN(SelectionData!$C$2)+TechData!J31&lt;15,"&lt;15",IF(TechData!J30*LN(SelectionData!$C$2)+TechData!J31&gt;50,"&gt;50",TechData!J30*LN(SelectionData!$C$2)+TechData!J31)))),IF(J9="","",IF(ISBLANK(TechData!J33),"-",IF(TechData!J33*LN(SelectionData!$C$2)+TechData!J34&lt;20,"&lt;20",IF(TechData!J33*LN(SelectionData!$C$2)+TechData!J34&gt;55,"&gt;55",TechData!J33*LN(SelectionData!$C$2)+TechData!J34)))))</f>
        <v>&gt;55</v>
      </c>
      <c r="K21" s="51" t="str">
        <f>IF($C$7="NR",IF(K9="","",IF(ISBLANK(TechData!K30),"-",IF(TechData!K30*LN(SelectionData!$C$2)+TechData!K31&lt;15,"&lt;15",IF(TechData!K30*LN(SelectionData!$C$2)+TechData!K31&gt;50,"&gt;50",TechData!K30*LN(SelectionData!$C$2)+TechData!K31)))),IF(K9="","",IF(ISBLANK(TechData!K33),"-",IF(TechData!K33*LN(SelectionData!$C$2)+TechData!K34&lt;20,"&lt;20",IF(TechData!K33*LN(SelectionData!$C$2)+TechData!K34&gt;55,"&gt;55",TechData!K33*LN(SelectionData!$C$2)+TechData!K34)))))</f>
        <v>&gt;55</v>
      </c>
      <c r="L21" s="51">
        <f>IF($C$7="NR",IF(L9="","",IF(ISBLANK(TechData!L30),"-",IF(TechData!L30*LN(SelectionData!$C$2)+TechData!L31&lt;15,"&lt;15",IF(TechData!L30*LN(SelectionData!$C$2)+TechData!L31&gt;50,"&gt;50",TechData!L30*LN(SelectionData!$C$2)+TechData!L31)))),IF(L9="","",IF(ISBLANK(TechData!L33),"-",IF(TechData!L33*LN(SelectionData!$C$2)+TechData!L34&lt;20,"&lt;20",IF(TechData!L33*LN(SelectionData!$C$2)+TechData!L34&gt;55,"&gt;55",TechData!L33*LN(SelectionData!$C$2)+TechData!L34)))))</f>
        <v>47.169639999704543</v>
      </c>
      <c r="M21" s="51">
        <f>IF($C$7="NR",IF(M9="","",IF(ISBLANK(TechData!M30),"-",IF(TechData!M30*LN(SelectionData!$C$2)+TechData!M31&lt;15,"&lt;15",IF(TechData!M30*LN(SelectionData!$C$2)+TechData!M31&gt;50,"&gt;50",TechData!M30*LN(SelectionData!$C$2)+TechData!M31)))),IF(M9="","",IF(ISBLANK(TechData!M33),"-",IF(TechData!M33*LN(SelectionData!$C$2)+TechData!M34&lt;20,"&lt;20",IF(TechData!M33*LN(SelectionData!$C$2)+TechData!M34&gt;55,"&gt;55",TechData!M33*LN(SelectionData!$C$2)+TechData!M34)))))</f>
        <v>39.31288856466162</v>
      </c>
      <c r="N21" s="51">
        <f>IF($C$7="NR",IF(N9="","",IF(ISBLANK(TechData!N30),"-",IF(TechData!N30*LN(SelectionData!$C$2)+TechData!N31&lt;15,"&lt;15",IF(TechData!N30*LN(SelectionData!$C$2)+TechData!N31&gt;50,"&gt;50",TechData!N30*LN(SelectionData!$C$2)+TechData!N31)))),IF(N9="","",IF(ISBLANK(TechData!N33),"-",IF(TechData!N33*LN(SelectionData!$C$2)+TechData!N34&lt;20,"&lt;20",IF(TechData!N33*LN(SelectionData!$C$2)+TechData!N34&gt;55,"&gt;55",TechData!N33*LN(SelectionData!$C$2)+TechData!N34)))))</f>
        <v>31.679843287374297</v>
      </c>
      <c r="O21" s="51">
        <f>IF($C$7="NR",IF(O9="","",IF(ISBLANK(TechData!O30),"-",IF(TechData!O30*LN(SelectionData!$C$2)+TechData!O31&lt;15,"&lt;15",IF(TechData!O30*LN(SelectionData!$C$2)+TechData!O31&gt;50,"&gt;50",TechData!O30*LN(SelectionData!$C$2)+TechData!O31)))),IF(O9="","",IF(ISBLANK(TechData!O33),"-",IF(TechData!O33*LN(SelectionData!$C$2)+TechData!O34&lt;20,"&lt;20",IF(TechData!O33*LN(SelectionData!$C$2)+TechData!O34&gt;55,"&gt;55",TechData!O33*LN(SelectionData!$C$2)+TechData!O34)))))</f>
        <v>26.62352427782676</v>
      </c>
    </row>
    <row r="22" spans="1:15" s="49" customFormat="1" ht="14.25" x14ac:dyDescent="0.25">
      <c r="A22" s="50" t="s">
        <v>63</v>
      </c>
      <c r="B22" s="48" t="str">
        <f>B6</f>
        <v>[dB(A)]</v>
      </c>
      <c r="C22" s="51" t="str">
        <f>IF($C$7="NR",IF(C9="","",IF(ISBLANK(TechData!D30),"-",IF(TechData!D30*LN(SelectionData!$C$2)+TechData!D31-$C$6&lt;15,"&lt;15",IF(TechData!D30*LN(SelectionData!$C$2)+TechData!D31-$C$6&gt;50,"&gt;50",TechData!D30*LN(SelectionData!$C$2)+TechData!D31-$C$6)))),IF(C9="","",IF(ISBLANK(TechData!D33),"-",IF(TechData!D33*LN(SelectionData!$C$2)+TechData!D34-$C$6&lt;20,"&lt;20",IF(TechData!D33*LN(SelectionData!$C$2)+TechData!D34-$C$6&gt;55,"&gt;55",TechData!D33*LN(SelectionData!$C$2)+TechData!D34-$C$6)))))</f>
        <v>&gt;55</v>
      </c>
      <c r="D22" s="51" t="str">
        <f>IF($C$7="NR",IF(D9="","",IF(ISBLANK(TechData!E30),"-",IF(TechData!E30*LN(SelectionData!$C$2)+TechData!E31-$C$6&lt;15,"&lt;15",IF(TechData!E30*LN(SelectionData!$C$2)+TechData!E31-$C$6&gt;50,"&gt;50",TechData!E30*LN(SelectionData!$C$2)+TechData!E31-$C$6)))),IF(D9="","",IF(ISBLANK(TechData!E33),"-",IF(TechData!E33*LN(SelectionData!$C$2)+TechData!E34-$C$6&lt;20,"&lt;20",IF(TechData!E33*LN(SelectionData!$C$2)+TechData!E34-$C$6&gt;55,"&gt;55",TechData!E33*LN(SelectionData!$C$2)+TechData!E34-$C$6)))))</f>
        <v>&gt;55</v>
      </c>
      <c r="E22" s="51">
        <f>IF($C$7="NR",IF(E9="","",IF(ISBLANK(TechData!F30),"-",IF(TechData!F30*LN(SelectionData!$C$2)+TechData!F31-$C$6&lt;15,"&lt;15",IF(TechData!F30*LN(SelectionData!$C$2)+TechData!F31-$C$6&gt;50,"&gt;50",TechData!F30*LN(SelectionData!$C$2)+TechData!F31-$C$6)))),IF(E9="","",IF(ISBLANK(TechData!F33),"-",IF(TechData!F33*LN(SelectionData!$C$2)+TechData!F34-$C$6&lt;20,"&lt;20",IF(TechData!F33*LN(SelectionData!$C$2)+TechData!F34-$C$6&gt;55,"&gt;55",TechData!F33*LN(SelectionData!$C$2)+TechData!F34-$C$6)))))</f>
        <v>34.727458951151817</v>
      </c>
      <c r="F22" s="51">
        <f>IF($C$7="NR",IF(F9="","",IF(ISBLANK(TechData!G30),"-",IF(TechData!G30*LN(SelectionData!$C$2)+TechData!G31-$C$6&lt;15,"&lt;15",IF(TechData!G30*LN(SelectionData!$C$2)+TechData!G31-$C$6&gt;50,"&gt;50",TechData!G30*LN(SelectionData!$C$2)+TechData!G31-$C$6)))),IF(F9="","",IF(ISBLANK(TechData!G33),"-",IF(TechData!G33*LN(SelectionData!$C$2)+TechData!G34-$C$6&lt;20,"&lt;20",IF(TechData!G33*LN(SelectionData!$C$2)+TechData!G34-$C$6&gt;55,"&gt;55",TechData!G33*LN(SelectionData!$C$2)+TechData!G34-$C$6)))))</f>
        <v>24.160771682026706</v>
      </c>
      <c r="G22" s="51" t="str">
        <f>IF($C$7="NR",IF(G9="","",IF(ISBLANK(TechData!H30),"-",IF(TechData!H30*LN(SelectionData!$C$2)+TechData!H31-$C$6&lt;15,"&lt;15",IF(TechData!H30*LN(SelectionData!$C$2)+TechData!H31-$C$6&gt;50,"&gt;50",TechData!H30*LN(SelectionData!$C$2)+TechData!H31-$C$6)))),IF(G9="","",IF(ISBLANK(TechData!H33),"-",IF(TechData!H33*LN(SelectionData!$C$2)+TechData!H34-$C$6&lt;20,"&lt;20",IF(TechData!H33*LN(SelectionData!$C$2)+TechData!H34-$C$6&gt;55,"&gt;55",TechData!H33*LN(SelectionData!$C$2)+TechData!H34-$C$6)))))</f>
        <v>&lt;20</v>
      </c>
      <c r="H22" s="51" t="str">
        <f>IF($C$7="NR",IF(H9="","",IF(ISBLANK(TechData!I30),"-",IF(TechData!I30*LN(SelectionData!$C$2)+TechData!I31-$C$6&lt;15,"&lt;15",IF(TechData!I30*LN(SelectionData!$C$2)+TechData!I31-$C$6&gt;50,"&gt;50",TechData!I30*LN(SelectionData!$C$2)+TechData!I31-$C$6)))),IF(H9="","",IF(ISBLANK(TechData!I33),"-",IF(TechData!I33*LN(SelectionData!$C$2)+TechData!I34-$C$6&lt;20,"&lt;20",IF(TechData!I33*LN(SelectionData!$C$2)+TechData!I34-$C$6&gt;55,"&gt;55",TechData!I33*LN(SelectionData!$C$2)+TechData!I34-$C$6)))))</f>
        <v>&lt;20</v>
      </c>
      <c r="I22" s="68"/>
      <c r="J22" s="51" t="str">
        <f>IF($C$7="NR",IF(J9="","",IF(ISBLANK(TechData!J30),"-",IF(TechData!J30*LN(SelectionData!$C$2)+TechData!J31-$C$6&lt;15,"&lt;15",IF(TechData!J30*LN(SelectionData!$C$2)+TechData!J31-$C$6&gt;50,"&gt;50",TechData!J30*LN(SelectionData!$C$2)+TechData!J31-$C$6)))),IF(J9="","",IF(ISBLANK(TechData!J33),"-",IF(TechData!J33*LN(SelectionData!$C$2)+TechData!J34-$C$6&lt;20,"&lt;20",IF(TechData!J33*LN(SelectionData!$C$2)+TechData!J34-$C$6&gt;55,"&gt;55",TechData!J33*LN(SelectionData!$C$2)+TechData!J34-$C$6)))))</f>
        <v>&gt;55</v>
      </c>
      <c r="K22" s="51" t="str">
        <f>IF($C$7="NR",IF(K9="","",IF(ISBLANK(TechData!K30),"-",IF(TechData!K30*LN(SelectionData!$C$2)+TechData!K31-$C$6&lt;15,"&lt;15",IF(TechData!K30*LN(SelectionData!$C$2)+TechData!K31-$C$6&gt;50,"&gt;50",TechData!K30*LN(SelectionData!$C$2)+TechData!K31-$C$6)))),IF(K9="","",IF(ISBLANK(TechData!K33),"-",IF(TechData!K33*LN(SelectionData!$C$2)+TechData!K34-$C$6&lt;20,"&lt;20",IF(TechData!K33*LN(SelectionData!$C$2)+TechData!K34-$C$6&gt;55,"&gt;55",TechData!K33*LN(SelectionData!$C$2)+TechData!K34-$C$6)))))</f>
        <v>&gt;55</v>
      </c>
      <c r="L22" s="51">
        <f>IF($C$7="NR",IF(L9="","",IF(ISBLANK(TechData!L30),"-",IF(TechData!L30*LN(SelectionData!$C$2)+TechData!L31-$C$6&lt;15,"&lt;15",IF(TechData!L30*LN(SelectionData!$C$2)+TechData!L31-$C$6&gt;50,"&gt;50",TechData!L30*LN(SelectionData!$C$2)+TechData!L31-$C$6)))),IF(L9="","",IF(ISBLANK(TechData!L33),"-",IF(TechData!L33*LN(SelectionData!$C$2)+TechData!L34-$C$6&lt;20,"&lt;20",IF(TechData!L33*LN(SelectionData!$C$2)+TechData!L34-$C$6&gt;55,"&gt;55",TechData!L33*LN(SelectionData!$C$2)+TechData!L34-$C$6)))))</f>
        <v>39.169639999704543</v>
      </c>
      <c r="M22" s="51">
        <f>IF($C$7="NR",IF(M9="","",IF(ISBLANK(TechData!M30),"-",IF(TechData!M30*LN(SelectionData!$C$2)+TechData!M31-$C$6&lt;15,"&lt;15",IF(TechData!M30*LN(SelectionData!$C$2)+TechData!M31-$C$6&gt;50,"&gt;50",TechData!M30*LN(SelectionData!$C$2)+TechData!M31-$C$6)))),IF(M9="","",IF(ISBLANK(TechData!M33),"-",IF(TechData!M33*LN(SelectionData!$C$2)+TechData!M34-$C$6&lt;20,"&lt;20",IF(TechData!M33*LN(SelectionData!$C$2)+TechData!M34-$C$6&gt;55,"&gt;55",TechData!M33*LN(SelectionData!$C$2)+TechData!M34-$C$6)))))</f>
        <v>31.31288856466162</v>
      </c>
      <c r="N22" s="51">
        <f>IF($C$7="NR",IF(N9="","",IF(ISBLANK(TechData!N30),"-",IF(TechData!N30*LN(SelectionData!$C$2)+TechData!N31-$C$6&lt;15,"&lt;15",IF(TechData!N30*LN(SelectionData!$C$2)+TechData!N31-$C$6&gt;50,"&gt;50",TechData!N30*LN(SelectionData!$C$2)+TechData!N31-$C$6)))),IF(N9="","",IF(ISBLANK(TechData!N33),"-",IF(TechData!N33*LN(SelectionData!$C$2)+TechData!N34-$C$6&lt;20,"&lt;20",IF(TechData!N33*LN(SelectionData!$C$2)+TechData!N34-$C$6&gt;55,"&gt;55",TechData!N33*LN(SelectionData!$C$2)+TechData!N34-$C$6)))))</f>
        <v>23.679843287374297</v>
      </c>
      <c r="O22" s="51" t="str">
        <f>IF($C$7="NR",IF(O9="","",IF(ISBLANK(TechData!O30),"-",IF(TechData!O30*LN(SelectionData!$C$2)+TechData!O31-$C$6&lt;15,"&lt;15",IF(TechData!O30*LN(SelectionData!$C$2)+TechData!O31-$C$6&gt;50,"&gt;50",TechData!O30*LN(SelectionData!$C$2)+TechData!O31-$C$6)))),IF(O9="","",IF(ISBLANK(TechData!O33),"-",IF(TechData!O33*LN(SelectionData!$C$2)+TechData!O34-$C$6&lt;20,"&lt;20",IF(TechData!O33*LN(SelectionData!$C$2)+TechData!O34-$C$6&gt;55,"&gt;55",TechData!O33*LN(SelectionData!$C$2)+TechData!O34-$C$6)))))</f>
        <v>&lt;20</v>
      </c>
    </row>
    <row r="23" spans="1:15" s="49" customFormat="1" ht="12.75" x14ac:dyDescent="0.2">
      <c r="B23" s="33"/>
      <c r="I23" s="65"/>
    </row>
    <row r="24" spans="1:15" s="49" customFormat="1" ht="12.75" x14ac:dyDescent="0.2">
      <c r="A24" s="53" t="s">
        <v>16</v>
      </c>
      <c r="B24" s="33"/>
      <c r="I24" s="65"/>
    </row>
    <row r="25" spans="1:15" s="49" customFormat="1" ht="14.25" x14ac:dyDescent="0.25">
      <c r="B25" s="33"/>
      <c r="C25" s="73" t="s">
        <v>55</v>
      </c>
      <c r="D25" s="74"/>
      <c r="E25" s="74"/>
      <c r="F25" s="74"/>
      <c r="G25" s="74"/>
      <c r="H25" s="75"/>
      <c r="I25" s="70"/>
      <c r="J25" s="73" t="s">
        <v>55</v>
      </c>
      <c r="K25" s="74"/>
      <c r="L25" s="74"/>
      <c r="M25" s="74"/>
      <c r="N25" s="74"/>
      <c r="O25" s="75"/>
    </row>
    <row r="26" spans="1:15" s="49" customFormat="1" ht="12.75" x14ac:dyDescent="0.2">
      <c r="A26" s="47">
        <v>125</v>
      </c>
      <c r="B26" s="48" t="s">
        <v>17</v>
      </c>
      <c r="C26" s="52" t="str">
        <f>IF(C9="","",IF(AND(OR(ISNUMBER(C21),ISNUMBER(C22)),SUM(TechData!D36:D49)&lt;&gt;0),IF(TechData!D36="","&lt; BGL",IF(TechData!D36*LN(SelectionData!$C$2)+TechData!D37&lt;=0,"&lt; BGL",TechData!D36*LN(SelectionData!$C$2)+TechData!D37)),"-"))</f>
        <v>-</v>
      </c>
      <c r="D26" s="52" t="str">
        <f>IF(D9="","",IF(AND(OR(ISNUMBER(D21),ISNUMBER(D22)),SUM(TechData!E36:E49)&lt;&gt;0),IF(TechData!E36="","&lt; BGL",IF(TechData!E36*LN(SelectionData!$C$2)+TechData!E37&lt;=0,"&lt; BGL",TechData!E36*LN(SelectionData!$C$2)+TechData!E37)),"-"))</f>
        <v>-</v>
      </c>
      <c r="E26" s="52">
        <f>IF(E9="","",IF(AND(OR(ISNUMBER(E21),ISNUMBER(E22)),SUM(TechData!F36:F49)&lt;&gt;0),IF(TechData!F36="","&lt; BGL",IF(TechData!F36*LN(SelectionData!$C$2)+TechData!F37&lt;=0,"&lt; BGL",TechData!F36*LN(SelectionData!$C$2)+TechData!F37)),"-"))</f>
        <v>53.525103414871722</v>
      </c>
      <c r="F26" s="52">
        <f>IF(F9="","",IF(AND(OR(ISNUMBER(F21),ISNUMBER(F22)),SUM(TechData!G36:G49)&lt;&gt;0),IF(TechData!G36="","&lt; BGL",IF(TechData!G36*LN(SelectionData!$C$2)+TechData!G37&lt;=0,"&lt; BGL",TechData!G36*LN(SelectionData!$C$2)+TechData!G37)),"-"))</f>
        <v>44.37027504416119</v>
      </c>
      <c r="G26" s="52">
        <f>IF(G9="","",IF(AND(OR(ISNUMBER(G21),ISNUMBER(G22)),SUM(TechData!H36:H49)&lt;&gt;0),IF(TechData!H36="","&lt; BGL",IF(TechData!H36*LN(SelectionData!$C$2)+TechData!H37&lt;=0,"&lt; BGL",TechData!H36*LN(SelectionData!$C$2)+TechData!H37)),"-"))</f>
        <v>34.727719097997891</v>
      </c>
      <c r="H26" s="52" t="str">
        <f>IF(H9="","",IF(AND(OR(ISNUMBER(H21),ISNUMBER(H22)),SUM(TechData!I36:I49)&lt;&gt;0),IF(TechData!I36="","&lt; BGL",IF(TechData!I36*LN(SelectionData!$C$2)+TechData!I37&lt;=0,"&lt; BGL",TechData!I36*LN(SelectionData!$C$2)+TechData!I37)),"-"))</f>
        <v>-</v>
      </c>
      <c r="I26" s="67"/>
      <c r="J26" s="52" t="str">
        <f>IF(J9="","",IF(AND(OR(ISNUMBER(J21),ISNUMBER(J22)),SUM(TechData!J36:J49)&lt;&gt;0),IF(TechData!J36="","&lt; BGL",IF(TechData!J36*LN(SelectionData!$C$2)+TechData!J37&lt;=0,"&lt; BGL",TechData!J36*LN(SelectionData!$C$2)+TechData!J37)),"-"))</f>
        <v>-</v>
      </c>
      <c r="K26" s="52" t="str">
        <f>IF(K9="","",IF(AND(OR(ISNUMBER(K21),ISNUMBER(K22)),SUM(TechData!K36:K49)&lt;&gt;0),IF(TechData!K36="","&lt; BGL",IF(TechData!K36*LN(SelectionData!$C$2)+TechData!K37&lt;=0,"&lt; BGL",TechData!K36*LN(SelectionData!$C$2)+TechData!K37)),"-"))</f>
        <v>-</v>
      </c>
      <c r="L26" s="52">
        <f>IF(L9="","",IF(AND(OR(ISNUMBER(L21),ISNUMBER(L22)),SUM(TechData!L36:L49)&lt;&gt;0),IF(TechData!L36="","&lt; BGL",IF(TechData!L36*LN(SelectionData!$C$2)+TechData!L37&lt;=0,"&lt; BGL",TechData!L36*LN(SelectionData!$C$2)+TechData!L37)),"-"))</f>
        <v>57.707982235664403</v>
      </c>
      <c r="M26" s="52">
        <f>IF(M9="","",IF(AND(OR(ISNUMBER(M21),ISNUMBER(M22)),SUM(TechData!M36:M49)&lt;&gt;0),IF(TechData!M36="","&lt; BGL",IF(TechData!M36*LN(SelectionData!$C$2)+TechData!M37&lt;=0,"&lt; BGL",TechData!M36*LN(SelectionData!$C$2)+TechData!M37)),"-"))</f>
        <v>51.10839832812691</v>
      </c>
      <c r="N26" s="52">
        <f>IF(N9="","",IF(AND(OR(ISNUMBER(N21),ISNUMBER(N22)),SUM(TechData!N36:N49)&lt;&gt;0),IF(TechData!N36="","&lt; BGL",IF(TechData!N36*LN(SelectionData!$C$2)+TechData!N37&lt;=0,"&lt; BGL",TechData!N36*LN(SelectionData!$C$2)+TechData!N37)),"-"))</f>
        <v>43.566896269588199</v>
      </c>
      <c r="O26" s="52">
        <f>IF(O9="","",IF(AND(OR(ISNUMBER(O21),ISNUMBER(O22)),SUM(TechData!O36:O49)&lt;&gt;0),IF(TechData!O36="","&lt; BGL",IF(TechData!O36*LN(SelectionData!$C$2)+TechData!O37&lt;=0,"&lt; BGL",TechData!O36*LN(SelectionData!$C$2)+TechData!O37)),"-"))</f>
        <v>38.784262151319098</v>
      </c>
    </row>
    <row r="27" spans="1:15" s="49" customFormat="1" ht="12.75" x14ac:dyDescent="0.2">
      <c r="A27" s="47">
        <v>250</v>
      </c>
      <c r="B27" s="48" t="s">
        <v>17</v>
      </c>
      <c r="C27" s="52" t="str">
        <f>IF(C9="","",IF(AND(OR(ISNUMBER(C21),ISNUMBER(C22)),SUM(TechData!D36:D49)&lt;&gt;0),IF(TechData!D38="","&lt; BGL",IF(TechData!D38*LN(SelectionData!$C$2)+TechData!D39&lt;=0,"&lt; BGL",TechData!D38*LN(SelectionData!$C$2)+TechData!D39)),"-"))</f>
        <v>-</v>
      </c>
      <c r="D27" s="52" t="str">
        <f>IF(D9="","",IF(AND(OR(ISNUMBER(D21),ISNUMBER(D22)),SUM(TechData!E36:E49)&lt;&gt;0),IF(TechData!E38="","&lt; BGL",IF(TechData!E38*LN(SelectionData!$C$2)+TechData!E39&lt;=0,"&lt; BGL",TechData!E38*LN(SelectionData!$C$2)+TechData!E39)),"-"))</f>
        <v>-</v>
      </c>
      <c r="E27" s="52">
        <f>IF(E9="","",IF(AND(OR(ISNUMBER(E21),ISNUMBER(E22)),SUM(TechData!F36:F49)&lt;&gt;0),IF(TechData!F38="","&lt; BGL",IF(TechData!F38*LN(SelectionData!$C$2)+TechData!F39&lt;=0,"&lt; BGL",TechData!F38*LN(SelectionData!$C$2)+TechData!F39)),"-"))</f>
        <v>45.984495433086295</v>
      </c>
      <c r="F27" s="52">
        <f>IF(F9="","",IF(AND(OR(ISNUMBER(F21),ISNUMBER(F22)),SUM(TechData!G36:G49)&lt;&gt;0),IF(TechData!G38="","&lt; BGL",IF(TechData!G38*LN(SelectionData!$C$2)+TechData!G39&lt;=0,"&lt; BGL",TechData!G38*LN(SelectionData!$C$2)+TechData!G39)),"-"))</f>
        <v>35.02843007193465</v>
      </c>
      <c r="G27" s="52">
        <f>IF(G9="","",IF(AND(OR(ISNUMBER(G21),ISNUMBER(G22)),SUM(TechData!H36:H49)&lt;&gt;0),IF(TechData!H38="","&lt; BGL",IF(TechData!H38*LN(SelectionData!$C$2)+TechData!H39&lt;=0,"&lt; BGL",TechData!H38*LN(SelectionData!$C$2)+TechData!H39)),"-"))</f>
        <v>25.772842705092273</v>
      </c>
      <c r="H27" s="52" t="str">
        <f>IF(H9="","",IF(AND(OR(ISNUMBER(H21),ISNUMBER(H22)),SUM(TechData!I36:I49)&lt;&gt;0),IF(TechData!I38="","&lt; BGL",IF(TechData!I38*LN(SelectionData!$C$2)+TechData!I39&lt;=0,"&lt; BGL",TechData!I38*LN(SelectionData!$C$2)+TechData!I39)),"-"))</f>
        <v>-</v>
      </c>
      <c r="I27" s="67"/>
      <c r="J27" s="52" t="str">
        <f>IF(J9="","",IF(AND(OR(ISNUMBER(J21),ISNUMBER(J22)),SUM(TechData!J36:J49)&lt;&gt;0),IF(TechData!J38="","&lt; BGL",IF(TechData!J38*LN(SelectionData!$C$2)+TechData!J39&lt;=0,"&lt; BGL",TechData!J38*LN(SelectionData!$C$2)+TechData!J39)),"-"))</f>
        <v>-</v>
      </c>
      <c r="K27" s="52" t="str">
        <f>IF(K9="","",IF(AND(OR(ISNUMBER(K21),ISNUMBER(K22)),SUM(TechData!K36:K49)&lt;&gt;0),IF(TechData!K38="","&lt; BGL",IF(TechData!K38*LN(SelectionData!$C$2)+TechData!K39&lt;=0,"&lt; BGL",TechData!K38*LN(SelectionData!$C$2)+TechData!K39)),"-"))</f>
        <v>-</v>
      </c>
      <c r="L27" s="52">
        <f>IF(L9="","",IF(AND(OR(ISNUMBER(L21),ISNUMBER(L22)),SUM(TechData!L36:L49)&lt;&gt;0),IF(TechData!L38="","&lt; BGL",IF(TechData!L38*LN(SelectionData!$C$2)+TechData!L39&lt;=0,"&lt; BGL",TechData!L38*LN(SelectionData!$C$2)+TechData!L39)),"-"))</f>
        <v>51.119440613913895</v>
      </c>
      <c r="M27" s="52">
        <f>IF(M9="","",IF(AND(OR(ISNUMBER(M21),ISNUMBER(M22)),SUM(TechData!M36:M49)&lt;&gt;0),IF(TechData!M38="","&lt; BGL",IF(TechData!M38*LN(SelectionData!$C$2)+TechData!M39&lt;=0,"&lt; BGL",TechData!M38*LN(SelectionData!$C$2)+TechData!M39)),"-"))</f>
        <v>42.489241601000714</v>
      </c>
      <c r="N27" s="52">
        <f>IF(N9="","",IF(AND(OR(ISNUMBER(N21),ISNUMBER(N22)),SUM(TechData!N36:N49)&lt;&gt;0),IF(TechData!N38="","&lt; BGL",IF(TechData!N38*LN(SelectionData!$C$2)+TechData!N39&lt;=0,"&lt; BGL",TechData!N38*LN(SelectionData!$C$2)+TechData!N39)),"-"))</f>
        <v>34.391631719479335</v>
      </c>
      <c r="O27" s="52">
        <f>IF(O9="","",IF(AND(OR(ISNUMBER(O21),ISNUMBER(O22)),SUM(TechData!O36:O49)&lt;&gt;0),IF(TechData!O38="","&lt; BGL",IF(TechData!O38*LN(SelectionData!$C$2)+TechData!O39&lt;=0,"&lt; BGL",TechData!O38*LN(SelectionData!$C$2)+TechData!O39)),"-"))</f>
        <v>29.8504084539058</v>
      </c>
    </row>
    <row r="28" spans="1:15" s="49" customFormat="1" ht="12.75" x14ac:dyDescent="0.2">
      <c r="A28" s="47">
        <v>500</v>
      </c>
      <c r="B28" s="48" t="s">
        <v>17</v>
      </c>
      <c r="C28" s="52" t="str">
        <f>IF(C9="","",IF(AND(OR(ISNUMBER(C21),ISNUMBER(C22)),SUM(TechData!D36:D49)&lt;&gt;0),IF(TechData!D40="","&lt; BGL",IF(TechData!D40*LN(SelectionData!$C$2)+TechData!D41&lt;=0,"&lt; BGL",TechData!D40*LN(SelectionData!$C$2)+TechData!D41)),"-"))</f>
        <v>-</v>
      </c>
      <c r="D28" s="52" t="str">
        <f>IF(D9="","",IF(AND(OR(ISNUMBER(D21),ISNUMBER(D22)),SUM(TechData!E36:E49)&lt;&gt;0),IF(TechData!E40="","&lt; BGL",IF(TechData!E40*LN(SelectionData!$C$2)+TechData!E41&lt;=0,"&lt; BGL",TechData!E40*LN(SelectionData!$C$2)+TechData!E41)),"-"))</f>
        <v>-</v>
      </c>
      <c r="E28" s="52">
        <f>IF(E9="","",IF(AND(OR(ISNUMBER(E21),ISNUMBER(E22)),SUM(TechData!F36:F49)&lt;&gt;0),IF(TechData!F40="","&lt; BGL",IF(TechData!F40*LN(SelectionData!$C$2)+TechData!F41&lt;=0,"&lt; BGL",TechData!F40*LN(SelectionData!$C$2)+TechData!F41)),"-"))</f>
        <v>38.944930264325563</v>
      </c>
      <c r="F28" s="52">
        <f>IF(F9="","",IF(AND(OR(ISNUMBER(F21),ISNUMBER(F22)),SUM(TechData!G36:G49)&lt;&gt;0),IF(TechData!G40="","&lt; BGL",IF(TechData!G40*LN(SelectionData!$C$2)+TechData!G41&lt;=0,"&lt; BGL",TechData!G40*LN(SelectionData!$C$2)+TechData!G41)),"-"))</f>
        <v>27.485269401059497</v>
      </c>
      <c r="G28" s="52">
        <f>IF(G9="","",IF(AND(OR(ISNUMBER(G21),ISNUMBER(G22)),SUM(TechData!H36:H49)&lt;&gt;0),IF(TechData!H40="","&lt; BGL",IF(TechData!H40*LN(SelectionData!$C$2)+TechData!H41&lt;=0,"&lt; BGL",TechData!H40*LN(SelectionData!$C$2)+TechData!H41)),"-"))</f>
        <v>18.271760580619599</v>
      </c>
      <c r="H28" s="52" t="str">
        <f>IF(H9="","",IF(AND(OR(ISNUMBER(H21),ISNUMBER(H22)),SUM(TechData!I36:I49)&lt;&gt;0),IF(TechData!I40="","&lt; BGL",IF(TechData!I40*LN(SelectionData!$C$2)+TechData!I41&lt;=0,"&lt; BGL",TechData!I40*LN(SelectionData!$C$2)+TechData!I41)),"-"))</f>
        <v>-</v>
      </c>
      <c r="I28" s="67"/>
      <c r="J28" s="52" t="str">
        <f>IF(J9="","",IF(AND(OR(ISNUMBER(J21),ISNUMBER(J22)),SUM(TechData!J36:J49)&lt;&gt;0),IF(TechData!J40="","&lt; BGL",IF(TechData!J40*LN(SelectionData!$C$2)+TechData!J41&lt;=0,"&lt; BGL",TechData!J40*LN(SelectionData!$C$2)+TechData!J41)),"-"))</f>
        <v>-</v>
      </c>
      <c r="K28" s="52" t="str">
        <f>IF(K9="","",IF(AND(OR(ISNUMBER(K21),ISNUMBER(K22)),SUM(TechData!K36:K49)&lt;&gt;0),IF(TechData!K40="","&lt; BGL",IF(TechData!K40*LN(SelectionData!$C$2)+TechData!K41&lt;=0,"&lt; BGL",TechData!K40*LN(SelectionData!$C$2)+TechData!K41)),"-"))</f>
        <v>-</v>
      </c>
      <c r="L28" s="52">
        <f>IF(L9="","",IF(AND(OR(ISNUMBER(L21),ISNUMBER(L22)),SUM(TechData!L36:L49)&lt;&gt;0),IF(TechData!L40="","&lt; BGL",IF(TechData!L40*LN(SelectionData!$C$2)+TechData!L41&lt;=0,"&lt; BGL",TechData!L40*LN(SelectionData!$C$2)+TechData!L41)),"-"))</f>
        <v>43.960340683893662</v>
      </c>
      <c r="M28" s="52">
        <f>IF(M9="","",IF(AND(OR(ISNUMBER(M21),ISNUMBER(M22)),SUM(TechData!M36:M49)&lt;&gt;0),IF(TechData!M40="","&lt; BGL",IF(TechData!M40*LN(SelectionData!$C$2)+TechData!M41&lt;=0,"&lt; BGL",TechData!M40*LN(SelectionData!$C$2)+TechData!M41)),"-"))</f>
        <v>34.759170868530333</v>
      </c>
      <c r="N28" s="52">
        <f>IF(N9="","",IF(AND(OR(ISNUMBER(N21),ISNUMBER(N22)),SUM(TechData!N36:N49)&lt;&gt;0),IF(TechData!N40="","&lt; BGL",IF(TechData!N40*LN(SelectionData!$C$2)+TechData!N41&lt;=0,"&lt; BGL",TechData!N40*LN(SelectionData!$C$2)+TechData!N41)),"-"))</f>
        <v>27.287243831773225</v>
      </c>
      <c r="O28" s="52">
        <f>IF(O9="","",IF(AND(OR(ISNUMBER(O21),ISNUMBER(O22)),SUM(TechData!O36:O49)&lt;&gt;0),IF(TechData!O40="","&lt; BGL",IF(TechData!O40*LN(SelectionData!$C$2)+TechData!O41&lt;=0,"&lt; BGL",TechData!O40*LN(SelectionData!$C$2)+TechData!O41)),"-"))</f>
        <v>21.788822570801671</v>
      </c>
    </row>
    <row r="29" spans="1:15" s="49" customFormat="1" ht="12.75" x14ac:dyDescent="0.2">
      <c r="A29" s="47">
        <v>1000</v>
      </c>
      <c r="B29" s="48" t="s">
        <v>17</v>
      </c>
      <c r="C29" s="52" t="str">
        <f>IF(C9="","",IF(AND(OR(ISNUMBER(C21),ISNUMBER(C22)),SUM(TechData!D36:D49)&lt;&gt;0),IF(TechData!D42="","&lt; BGL",IF(TechData!D42*LN(SelectionData!$C$2)+TechData!D43&lt;=0,"&lt; BGL",TechData!D42*LN(SelectionData!$C$2)+TechData!D43)),"-"))</f>
        <v>-</v>
      </c>
      <c r="D29" s="52" t="str">
        <f>IF(D9="","",IF(AND(OR(ISNUMBER(D21),ISNUMBER(D22)),SUM(TechData!E36:E49)&lt;&gt;0),IF(TechData!E42="","&lt; BGL",IF(TechData!E42*LN(SelectionData!$C$2)+TechData!E43&lt;=0,"&lt; BGL",TechData!E42*LN(SelectionData!$C$2)+TechData!E43)),"-"))</f>
        <v>-</v>
      </c>
      <c r="E29" s="52">
        <f>IF(E9="","",IF(AND(OR(ISNUMBER(E21),ISNUMBER(E22)),SUM(TechData!F36:F49)&lt;&gt;0),IF(TechData!F42="","&lt; BGL",IF(TechData!F42*LN(SelectionData!$C$2)+TechData!F43&lt;=0,"&lt; BGL",TechData!F42*LN(SelectionData!$C$2)+TechData!F43)),"-"))</f>
        <v>34.969562289455638</v>
      </c>
      <c r="F29" s="52">
        <f>IF(F9="","",IF(AND(OR(ISNUMBER(F21),ISNUMBER(F22)),SUM(TechData!G36:G49)&lt;&gt;0),IF(TechData!G42="","&lt; BGL",IF(TechData!G42*LN(SelectionData!$C$2)+TechData!G43&lt;=0,"&lt; BGL",TechData!G42*LN(SelectionData!$C$2)+TechData!G43)),"-"))</f>
        <v>23.116022194945202</v>
      </c>
      <c r="G29" s="52">
        <f>IF(G9="","",IF(AND(OR(ISNUMBER(G21),ISNUMBER(G22)),SUM(TechData!H36:H49)&lt;&gt;0),IF(TechData!H42="","&lt; BGL",IF(TechData!H42*LN(SelectionData!$C$2)+TechData!H43&lt;=0,"&lt; BGL",TechData!H42*LN(SelectionData!$C$2)+TechData!H43)),"-"))</f>
        <v>13.74468564079362</v>
      </c>
      <c r="H29" s="52" t="str">
        <f>IF(H9="","",IF(AND(OR(ISNUMBER(H21),ISNUMBER(H22)),SUM(TechData!I36:I49)&lt;&gt;0),IF(TechData!I42="","&lt; BGL",IF(TechData!I42*LN(SelectionData!$C$2)+TechData!I43&lt;=0,"&lt; BGL",TechData!I42*LN(SelectionData!$C$2)+TechData!I43)),"-"))</f>
        <v>-</v>
      </c>
      <c r="I29" s="67"/>
      <c r="J29" s="52" t="str">
        <f>IF(J9="","",IF(AND(OR(ISNUMBER(J21),ISNUMBER(J22)),SUM(TechData!J36:J49)&lt;&gt;0),IF(TechData!J42="","&lt; BGL",IF(TechData!J42*LN(SelectionData!$C$2)+TechData!J43&lt;=0,"&lt; BGL",TechData!J42*LN(SelectionData!$C$2)+TechData!J43)),"-"))</f>
        <v>-</v>
      </c>
      <c r="K29" s="52" t="str">
        <f>IF(K9="","",IF(AND(OR(ISNUMBER(K21),ISNUMBER(K22)),SUM(TechData!K36:K49)&lt;&gt;0),IF(TechData!K42="","&lt; BGL",IF(TechData!K42*LN(SelectionData!$C$2)+TechData!K43&lt;=0,"&lt; BGL",TechData!K42*LN(SelectionData!$C$2)+TechData!K43)),"-"))</f>
        <v>-</v>
      </c>
      <c r="L29" s="52">
        <f>IF(L9="","",IF(AND(OR(ISNUMBER(L21),ISNUMBER(L22)),SUM(TechData!L36:L49)&lt;&gt;0),IF(TechData!L42="","&lt; BGL",IF(TechData!L42*LN(SelectionData!$C$2)+TechData!L43&lt;=0,"&lt; BGL",TechData!L42*LN(SelectionData!$C$2)+TechData!L43)),"-"))</f>
        <v>39.307180549830576</v>
      </c>
      <c r="M29" s="52">
        <f>IF(M9="","",IF(AND(OR(ISNUMBER(M21),ISNUMBER(M22)),SUM(TechData!M36:M49)&lt;&gt;0),IF(TechData!M42="","&lt; BGL",IF(TechData!M42*LN(SelectionData!$C$2)+TechData!M43&lt;=0,"&lt; BGL",TechData!M42*LN(SelectionData!$C$2)+TechData!M43)),"-"))</f>
        <v>29.903908646240495</v>
      </c>
      <c r="N29" s="52">
        <f>IF(N9="","",IF(AND(OR(ISNUMBER(N21),ISNUMBER(N22)),SUM(TechData!N36:N49)&lt;&gt;0),IF(TechData!N42="","&lt; BGL",IF(TechData!N42*LN(SelectionData!$C$2)+TechData!N43&lt;=0,"&lt; BGL",TechData!N42*LN(SelectionData!$C$2)+TechData!N43)),"-"))</f>
        <v>23.353859013842197</v>
      </c>
      <c r="O29" s="52">
        <f>IF(O9="","",IF(AND(OR(ISNUMBER(O21),ISNUMBER(O22)),SUM(TechData!O36:O49)&lt;&gt;0),IF(TechData!O42="","&lt; BGL",IF(TechData!O42*LN(SelectionData!$C$2)+TechData!O43&lt;=0,"&lt; BGL",TechData!O42*LN(SelectionData!$C$2)+TechData!O43)),"-"))</f>
        <v>16.673307972356383</v>
      </c>
    </row>
    <row r="30" spans="1:15" s="49" customFormat="1" ht="12.75" x14ac:dyDescent="0.2">
      <c r="A30" s="47">
        <v>2000</v>
      </c>
      <c r="B30" s="48" t="s">
        <v>17</v>
      </c>
      <c r="C30" s="52" t="str">
        <f>IF(C9="","",IF(AND(OR(ISNUMBER(C21),ISNUMBER(C22)),SUM(TechData!D36:D49)&lt;&gt;0),IF(TechData!D44="","&lt; BGL",IF(TechData!D44*LN(SelectionData!$C$2)+TechData!D45&lt;=0,"&lt; BGL",TechData!D44*LN(SelectionData!$C$2)+TechData!D45)),"-"))</f>
        <v>-</v>
      </c>
      <c r="D30" s="52" t="str">
        <f>IF(D9="","",IF(AND(OR(ISNUMBER(D21),ISNUMBER(D22)),SUM(TechData!E36:E49)&lt;&gt;0),IF(TechData!E44="","&lt; BGL",IF(TechData!E44*LN(SelectionData!$C$2)+TechData!E45&lt;=0,"&lt; BGL",TechData!E44*LN(SelectionData!$C$2)+TechData!E45)),"-"))</f>
        <v>-</v>
      </c>
      <c r="E30" s="52">
        <f>IF(E9="","",IF(AND(OR(ISNUMBER(E21),ISNUMBER(E22)),SUM(TechData!F36:F49)&lt;&gt;0),IF(TechData!F44="","&lt; BGL",IF(TechData!F44*LN(SelectionData!$C$2)+TechData!F45&lt;=0,"&lt; BGL",TechData!F44*LN(SelectionData!$C$2)+TechData!F45)),"-"))</f>
        <v>28.222399170666193</v>
      </c>
      <c r="F30" s="52">
        <f>IF(F9="","",IF(AND(OR(ISNUMBER(F21),ISNUMBER(F22)),SUM(TechData!G36:G49)&lt;&gt;0),IF(TechData!G44="","&lt; BGL",IF(TechData!G44*LN(SelectionData!$C$2)+TechData!G45&lt;=0,"&lt; BGL",TechData!G44*LN(SelectionData!$C$2)+TechData!G45)),"-"))</f>
        <v>15.078682556474092</v>
      </c>
      <c r="G30" s="52">
        <f>IF(G9="","",IF(AND(OR(ISNUMBER(G21),ISNUMBER(G22)),SUM(TechData!H36:H49)&lt;&gt;0),IF(TechData!H44="","&lt; BGL",IF(TechData!H44*LN(SelectionData!$C$2)+TechData!H45&lt;=0,"&lt; BGL",TechData!H44*LN(SelectionData!$C$2)+TechData!H45)),"-"))</f>
        <v>4.5520548562964507</v>
      </c>
      <c r="H30" s="52" t="str">
        <f>IF(H9="","",IF(AND(OR(ISNUMBER(H21),ISNUMBER(H22)),SUM(TechData!I36:I49)&lt;&gt;0),IF(TechData!I44="","&lt; BGL",IF(TechData!I44*LN(SelectionData!$C$2)+TechData!I45&lt;=0,"&lt; BGL",TechData!I44*LN(SelectionData!$C$2)+TechData!I45)),"-"))</f>
        <v>-</v>
      </c>
      <c r="I30" s="67"/>
      <c r="J30" s="52" t="str">
        <f>IF(J9="","",IF(AND(OR(ISNUMBER(J21),ISNUMBER(J22)),SUM(TechData!J36:J49)&lt;&gt;0),IF(TechData!J44="","&lt; BGL",IF(TechData!J44*LN(SelectionData!$C$2)+TechData!J45&lt;=0,"&lt; BGL",TechData!J44*LN(SelectionData!$C$2)+TechData!J45)),"-"))</f>
        <v>-</v>
      </c>
      <c r="K30" s="52" t="str">
        <f>IF(K9="","",IF(AND(OR(ISNUMBER(K21),ISNUMBER(K22)),SUM(TechData!K36:K49)&lt;&gt;0),IF(TechData!K44="","&lt; BGL",IF(TechData!K44*LN(SelectionData!$C$2)+TechData!K45&lt;=0,"&lt; BGL",TechData!K44*LN(SelectionData!$C$2)+TechData!K45)),"-"))</f>
        <v>-</v>
      </c>
      <c r="L30" s="52">
        <f>IF(L9="","",IF(AND(OR(ISNUMBER(L21),ISNUMBER(L22)),SUM(TechData!L36:L49)&lt;&gt;0),IF(TechData!L44="","&lt; BGL",IF(TechData!L44*LN(SelectionData!$C$2)+TechData!L45&lt;=0,"&lt; BGL",TechData!L44*LN(SelectionData!$C$2)+TechData!L45)),"-"))</f>
        <v>34.421042962517646</v>
      </c>
      <c r="M30" s="52">
        <f>IF(M9="","",IF(AND(OR(ISNUMBER(M21),ISNUMBER(M22)),SUM(TechData!M36:M49)&lt;&gt;0),IF(TechData!M44="","&lt; BGL",IF(TechData!M44*LN(SelectionData!$C$2)+TechData!M45&lt;=0,"&lt; BGL",TechData!M44*LN(SelectionData!$C$2)+TechData!M45)),"-"))</f>
        <v>23.620467676959436</v>
      </c>
      <c r="N30" s="52">
        <f>IF(N9="","",IF(AND(OR(ISNUMBER(N21),ISNUMBER(N22)),SUM(TechData!N36:N49)&lt;&gt;0),IF(TechData!N44="","&lt; BGL",IF(TechData!N44*LN(SelectionData!$C$2)+TechData!N45&lt;=0,"&lt; BGL",TechData!N44*LN(SelectionData!$C$2)+TechData!N45)),"-"))</f>
        <v>15.754818886955036</v>
      </c>
      <c r="O30" s="52">
        <f>IF(O9="","",IF(AND(OR(ISNUMBER(O21),ISNUMBER(O22)),SUM(TechData!O36:O49)&lt;&gt;0),IF(TechData!O44="","&lt; BGL",IF(TechData!O44*LN(SelectionData!$C$2)+TechData!O45&lt;=0,"&lt; BGL",TechData!O44*LN(SelectionData!$C$2)+TechData!O45)),"-"))</f>
        <v>12.180970481832446</v>
      </c>
    </row>
    <row r="31" spans="1:15" s="49" customFormat="1" ht="12.75" x14ac:dyDescent="0.2">
      <c r="A31" s="47">
        <v>4000</v>
      </c>
      <c r="B31" s="48" t="s">
        <v>17</v>
      </c>
      <c r="C31" s="52" t="str">
        <f>IF(C9="","",IF(AND(OR(ISNUMBER(C21),ISNUMBER(C22)),SUM(TechData!D36:D49)&lt;&gt;0),IF(TechData!D46="","&lt; BGL",IF(TechData!D46*LN(SelectionData!$C$2)+TechData!D47&lt;=0,"&lt; BGL",TechData!D46*LN(SelectionData!$C$2)+TechData!D47)),"-"))</f>
        <v>-</v>
      </c>
      <c r="D31" s="52" t="str">
        <f>IF(D9="","",IF(AND(OR(ISNUMBER(D21),ISNUMBER(D22)),SUM(TechData!E36:E49)&lt;&gt;0),IF(TechData!E46="","&lt; BGL",IF(TechData!E46*LN(SelectionData!$C$2)+TechData!E47&lt;=0,"&lt; BGL",TechData!E46*LN(SelectionData!$C$2)+TechData!E47)),"-"))</f>
        <v>-</v>
      </c>
      <c r="E31" s="52" t="str">
        <f>IF(E9="","",IF(AND(OR(ISNUMBER(E21),ISNUMBER(E22)),SUM(TechData!F36:F49)&lt;&gt;0),IF(TechData!F46="","&lt; BGL",IF(TechData!F46*LN(SelectionData!$C$2)+TechData!F47&lt;=0,"&lt; BGL",TechData!F46*LN(SelectionData!$C$2)+TechData!F47)),"-"))</f>
        <v>&lt; BGL</v>
      </c>
      <c r="F31" s="52" t="str">
        <f>IF(F9="","",IF(AND(OR(ISNUMBER(F21),ISNUMBER(F22)),SUM(TechData!G36:G49)&lt;&gt;0),IF(TechData!G46="","&lt; BGL",IF(TechData!G46*LN(SelectionData!$C$2)+TechData!G47&lt;=0,"&lt; BGL",TechData!G46*LN(SelectionData!$C$2)+TechData!G47)),"-"))</f>
        <v>&lt; BGL</v>
      </c>
      <c r="G31" s="52" t="str">
        <f>IF(G9="","",IF(AND(OR(ISNUMBER(G21),ISNUMBER(G22)),SUM(TechData!H36:H49)&lt;&gt;0),IF(TechData!H46="","&lt; BGL",IF(TechData!H46*LN(SelectionData!$C$2)+TechData!H47&lt;=0,"&lt; BGL",TechData!H46*LN(SelectionData!$C$2)+TechData!H47)),"-"))</f>
        <v>&lt; BGL</v>
      </c>
      <c r="H31" s="52" t="str">
        <f>IF(H9="","",IF(AND(OR(ISNUMBER(H21),ISNUMBER(H22)),SUM(TechData!I36:I49)&lt;&gt;0),IF(TechData!I46="","&lt; BGL",IF(TechData!I46*LN(SelectionData!$C$2)+TechData!I47&lt;=0,"&lt; BGL",TechData!I46*LN(SelectionData!$C$2)+TechData!I47)),"-"))</f>
        <v>-</v>
      </c>
      <c r="I31" s="67"/>
      <c r="J31" s="52" t="str">
        <f>IF(J9="","",IF(AND(OR(ISNUMBER(J21),ISNUMBER(J22)),SUM(TechData!J36:J49)&lt;&gt;0),IF(TechData!J46="","&lt; BGL",IF(TechData!J46*LN(SelectionData!$C$2)+TechData!J47&lt;=0,"&lt; BGL",TechData!J46*LN(SelectionData!$C$2)+TechData!J47)),"-"))</f>
        <v>-</v>
      </c>
      <c r="K31" s="52" t="str">
        <f>IF(K9="","",IF(AND(OR(ISNUMBER(K21),ISNUMBER(K22)),SUM(TechData!K36:K49)&lt;&gt;0),IF(TechData!K46="","&lt; BGL",IF(TechData!K46*LN(SelectionData!$C$2)+TechData!K47&lt;=0,"&lt; BGL",TechData!K46*LN(SelectionData!$C$2)+TechData!K47)),"-"))</f>
        <v>-</v>
      </c>
      <c r="L31" s="52" t="str">
        <f>IF(L9="","",IF(AND(OR(ISNUMBER(L21),ISNUMBER(L22)),SUM(TechData!L36:L49)&lt;&gt;0),IF(TechData!L46="","&lt; BGL",IF(TechData!L46*LN(SelectionData!$C$2)+TechData!L47&lt;=0,"&lt; BGL",TechData!L46*LN(SelectionData!$C$2)+TechData!L47)),"-"))</f>
        <v>&lt; BGL</v>
      </c>
      <c r="M31" s="52" t="str">
        <f>IF(M9="","",IF(AND(OR(ISNUMBER(M21),ISNUMBER(M22)),SUM(TechData!M36:M49)&lt;&gt;0),IF(TechData!M46="","&lt; BGL",IF(TechData!M46*LN(SelectionData!$C$2)+TechData!M47&lt;=0,"&lt; BGL",TechData!M46*LN(SelectionData!$C$2)+TechData!M47)),"-"))</f>
        <v>&lt; BGL</v>
      </c>
      <c r="N31" s="52" t="str">
        <f>IF(N9="","",IF(AND(OR(ISNUMBER(N21),ISNUMBER(N22)),SUM(TechData!N36:N49)&lt;&gt;0),IF(TechData!N46="","&lt; BGL",IF(TechData!N46*LN(SelectionData!$C$2)+TechData!N47&lt;=0,"&lt; BGL",TechData!N46*LN(SelectionData!$C$2)+TechData!N47)),"-"))</f>
        <v>&lt; BGL</v>
      </c>
      <c r="O31" s="52" t="str">
        <f>IF(O9="","",IF(AND(OR(ISNUMBER(O21),ISNUMBER(O22)),SUM(TechData!O36:O49)&lt;&gt;0),IF(TechData!O46="","&lt; BGL",IF(TechData!O46*LN(SelectionData!$C$2)+TechData!O47&lt;=0,"&lt; BGL",TechData!O46*LN(SelectionData!$C$2)+TechData!O47)),"-"))</f>
        <v>&lt; BGL</v>
      </c>
    </row>
    <row r="32" spans="1:15" s="49" customFormat="1" ht="12.75" x14ac:dyDescent="0.2">
      <c r="A32" s="47">
        <v>8000</v>
      </c>
      <c r="B32" s="48" t="s">
        <v>17</v>
      </c>
      <c r="C32" s="52" t="str">
        <f>IF(C9="","",IF(AND(OR(ISNUMBER(C21),ISNUMBER(C22)),SUM(TechData!D36:D49)&lt;&gt;0),IF(TechData!D48="","&lt; BGL",IF(TechData!D48*LN(SelectionData!$C$2)+TechData!D49&lt;=0,"&lt; BGL",TechData!D48*LN(SelectionData!$C$2)+TechData!D49)),"-"))</f>
        <v>-</v>
      </c>
      <c r="D32" s="52" t="str">
        <f>IF(D9="","",IF(AND(OR(ISNUMBER(D21),ISNUMBER(D22)),SUM(TechData!E36:E49)&lt;&gt;0),IF(TechData!E48="","&lt; BGL",IF(TechData!E48*LN(SelectionData!$C$2)+TechData!E49&lt;=0,"&lt; BGL",TechData!E48*LN(SelectionData!$C$2)+TechData!E49)),"-"))</f>
        <v>-</v>
      </c>
      <c r="E32" s="52" t="str">
        <f>IF(E9="","",IF(AND(OR(ISNUMBER(E21),ISNUMBER(E22)),SUM(TechData!F36:F49)&lt;&gt;0),IF(TechData!F48="","&lt; BGL",IF(TechData!F48*LN(SelectionData!$C$2)+TechData!F49&lt;=0,"&lt; BGL",TechData!F48*LN(SelectionData!$C$2)+TechData!F49)),"-"))</f>
        <v>&lt; BGL</v>
      </c>
      <c r="F32" s="52" t="str">
        <f>IF(F9="","",IF(AND(OR(ISNUMBER(F21),ISNUMBER(F22)),SUM(TechData!G36:G49)&lt;&gt;0),IF(TechData!G48="","&lt; BGL",IF(TechData!G48*LN(SelectionData!$C$2)+TechData!G49&lt;=0,"&lt; BGL",TechData!G48*LN(SelectionData!$C$2)+TechData!G49)),"-"))</f>
        <v>&lt; BGL</v>
      </c>
      <c r="G32" s="52" t="str">
        <f>IF(G9="","",IF(AND(OR(ISNUMBER(G21),ISNUMBER(G22)),SUM(TechData!H36:H49)&lt;&gt;0),IF(TechData!H48="","&lt; BGL",IF(TechData!H48*LN(SelectionData!$C$2)+TechData!H49&lt;=0,"&lt; BGL",TechData!H48*LN(SelectionData!$C$2)+TechData!H49)),"-"))</f>
        <v>&lt; BGL</v>
      </c>
      <c r="H32" s="52" t="str">
        <f>IF(H9="","",IF(AND(OR(ISNUMBER(H21),ISNUMBER(H22)),SUM(TechData!I36:I49)&lt;&gt;0),IF(TechData!I48="","&lt; BGL",IF(TechData!I48*LN(SelectionData!$C$2)+TechData!I49&lt;=0,"&lt; BGL",TechData!I48*LN(SelectionData!$C$2)+TechData!I49)),"-"))</f>
        <v>-</v>
      </c>
      <c r="I32" s="67"/>
      <c r="J32" s="52" t="str">
        <f>IF(J9="","",IF(AND(OR(ISNUMBER(J21),ISNUMBER(J22)),SUM(TechData!J36:J49)&lt;&gt;0),IF(TechData!J48="","&lt; BGL",IF(TechData!J48*LN(SelectionData!$C$2)+TechData!J49&lt;=0,"&lt; BGL",TechData!J48*LN(SelectionData!$C$2)+TechData!J49)),"-"))</f>
        <v>-</v>
      </c>
      <c r="K32" s="52" t="str">
        <f>IF(K9="","",IF(AND(OR(ISNUMBER(K21),ISNUMBER(K22)),SUM(TechData!K36:K49)&lt;&gt;0),IF(TechData!K48="","&lt; BGL",IF(TechData!K48*LN(SelectionData!$C$2)+TechData!K49&lt;=0,"&lt; BGL",TechData!K48*LN(SelectionData!$C$2)+TechData!K49)),"-"))</f>
        <v>-</v>
      </c>
      <c r="L32" s="52" t="str">
        <f>IF(L9="","",IF(AND(OR(ISNUMBER(L21),ISNUMBER(L22)),SUM(TechData!L36:L49)&lt;&gt;0),IF(TechData!L48="","&lt; BGL",IF(TechData!L48*LN(SelectionData!$C$2)+TechData!L49&lt;=0,"&lt; BGL",TechData!L48*LN(SelectionData!$C$2)+TechData!L49)),"-"))</f>
        <v>&lt; BGL</v>
      </c>
      <c r="M32" s="52" t="str">
        <f>IF(M9="","",IF(AND(OR(ISNUMBER(M21),ISNUMBER(M22)),SUM(TechData!M36:M49)&lt;&gt;0),IF(TechData!M48="","&lt; BGL",IF(TechData!M48*LN(SelectionData!$C$2)+TechData!M49&lt;=0,"&lt; BGL",TechData!M48*LN(SelectionData!$C$2)+TechData!M49)),"-"))</f>
        <v>&lt; BGL</v>
      </c>
      <c r="N32" s="52" t="str">
        <f>IF(N9="","",IF(AND(OR(ISNUMBER(N21),ISNUMBER(N22)),SUM(TechData!N36:N49)&lt;&gt;0),IF(TechData!N48="","&lt; BGL",IF(TechData!N48*LN(SelectionData!$C$2)+TechData!N49&lt;=0,"&lt; BGL",TechData!N48*LN(SelectionData!$C$2)+TechData!N49)),"-"))</f>
        <v>&lt; BGL</v>
      </c>
      <c r="O32" s="52" t="str">
        <f>IF(O9="","",IF(AND(OR(ISNUMBER(O21),ISNUMBER(O22)),SUM(TechData!O36:O49)&lt;&gt;0),IF(TechData!O48="","&lt; BGL",IF(TechData!O48*LN(SelectionData!$C$2)+TechData!O49&lt;=0,"&lt; BGL",TechData!O48*LN(SelectionData!$C$2)+TechData!O49)),"-"))</f>
        <v>&lt; BGL</v>
      </c>
    </row>
    <row r="33" spans="1:6" x14ac:dyDescent="0.25">
      <c r="A33" s="6" t="s">
        <v>18</v>
      </c>
      <c r="F33" t="str">
        <f>TechData!G48</f>
        <v/>
      </c>
    </row>
  </sheetData>
  <sheetProtection algorithmName="SHA-512" hashValue="Y/8YOe8shYalPogkhpQPLnPLT+CaF52DNVj4sl0ey19zaChACMa0PgUtRUzET2tNJ2EjPRmLhQKD6U82ZowITw==" saltValue="ggsszfb8XatcQ4tpPXj7Uw==" spinCount="100000" sheet="1" objects="1" scenarios="1"/>
  <mergeCells count="2">
    <mergeCell ref="C25:H25"/>
    <mergeCell ref="J25:O25"/>
  </mergeCells>
  <dataValidations count="1">
    <dataValidation type="list" allowBlank="1" showInputMessage="1" showErrorMessage="1" sqref="C7" xr:uid="{00000000-0002-0000-0000-000000000000}">
      <formula1>units</formula1>
    </dataValidation>
  </dataValidation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sheetProtection algorithmName="SHA-512" hashValue="zOp3aZmLXGkiuDXcXQGfEl4bQ1oZInYX37k/yCIgs0QBpbIIwjW3VcFLNgsB4O6mjLWOhSAdiAkL9QUiBFTZCw==" saltValue="+ZJRqbDFsSox+yzl0uu0M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0"/>
  <sheetViews>
    <sheetView zoomScale="70" zoomScaleNormal="70" workbookViewId="0">
      <selection activeCell="F18" sqref="F18"/>
    </sheetView>
  </sheetViews>
  <sheetFormatPr defaultRowHeight="15" x14ac:dyDescent="0.25"/>
  <cols>
    <col min="1" max="1" width="33.5703125" bestFit="1" customWidth="1"/>
    <col min="2" max="2" width="5.140625" customWidth="1"/>
    <col min="3" max="3" width="12.85546875" style="1" bestFit="1" customWidth="1"/>
    <col min="4" max="9" width="18.28515625" style="55" bestFit="1" customWidth="1"/>
    <col min="10" max="15" width="15.28515625" style="55" bestFit="1" customWidth="1"/>
  </cols>
  <sheetData>
    <row r="1" spans="1:17" x14ac:dyDescent="0.25">
      <c r="A1" s="11"/>
      <c r="B1" s="12"/>
      <c r="C1" s="13" t="s">
        <v>24</v>
      </c>
      <c r="D1" s="58" t="s">
        <v>69</v>
      </c>
      <c r="E1" s="58" t="s">
        <v>69</v>
      </c>
      <c r="F1" s="58" t="s">
        <v>69</v>
      </c>
      <c r="G1" s="58" t="s">
        <v>69</v>
      </c>
      <c r="H1" s="58" t="s">
        <v>69</v>
      </c>
      <c r="I1" s="58" t="s">
        <v>69</v>
      </c>
      <c r="J1" s="58" t="s">
        <v>69</v>
      </c>
      <c r="K1" s="58" t="s">
        <v>69</v>
      </c>
      <c r="L1" s="58" t="s">
        <v>69</v>
      </c>
      <c r="M1" s="58" t="s">
        <v>69</v>
      </c>
      <c r="N1" s="58" t="s">
        <v>69</v>
      </c>
      <c r="O1" s="58" t="s">
        <v>69</v>
      </c>
    </row>
    <row r="2" spans="1:17" x14ac:dyDescent="0.25">
      <c r="A2" s="7"/>
      <c r="B2" s="10"/>
      <c r="C2" s="14" t="s">
        <v>72</v>
      </c>
      <c r="D2" s="62">
        <v>100</v>
      </c>
      <c r="E2" s="62">
        <v>125</v>
      </c>
      <c r="F2" s="62">
        <v>160</v>
      </c>
      <c r="G2" s="62">
        <v>200</v>
      </c>
      <c r="H2" s="62">
        <v>250</v>
      </c>
      <c r="I2" s="62">
        <v>315</v>
      </c>
      <c r="J2" s="62">
        <v>100</v>
      </c>
      <c r="K2" s="62">
        <v>125</v>
      </c>
      <c r="L2" s="62">
        <v>160</v>
      </c>
      <c r="M2" s="62">
        <v>200</v>
      </c>
      <c r="N2" s="62">
        <v>250</v>
      </c>
      <c r="O2" s="62">
        <v>315</v>
      </c>
      <c r="Q2" s="15"/>
    </row>
    <row r="3" spans="1:17" x14ac:dyDescent="0.25">
      <c r="A3" s="7"/>
      <c r="B3" s="10"/>
      <c r="C3" s="14" t="s">
        <v>67</v>
      </c>
      <c r="D3" s="63" t="s">
        <v>65</v>
      </c>
      <c r="E3" s="63" t="s">
        <v>65</v>
      </c>
      <c r="F3" s="63" t="s">
        <v>65</v>
      </c>
      <c r="G3" s="63" t="s">
        <v>65</v>
      </c>
      <c r="H3" s="63" t="s">
        <v>65</v>
      </c>
      <c r="I3" s="63" t="s">
        <v>65</v>
      </c>
      <c r="J3" s="63" t="s">
        <v>66</v>
      </c>
      <c r="K3" s="63" t="s">
        <v>66</v>
      </c>
      <c r="L3" s="63" t="s">
        <v>66</v>
      </c>
      <c r="M3" s="63" t="s">
        <v>66</v>
      </c>
      <c r="N3" s="63" t="s">
        <v>66</v>
      </c>
      <c r="O3" s="71" t="s">
        <v>66</v>
      </c>
    </row>
    <row r="4" spans="1:17" x14ac:dyDescent="0.25">
      <c r="A4" s="7"/>
      <c r="B4" s="10"/>
      <c r="C4" s="14" t="s">
        <v>68</v>
      </c>
      <c r="D4" s="63">
        <v>5</v>
      </c>
      <c r="E4" s="63">
        <v>5</v>
      </c>
      <c r="F4" s="63">
        <v>5</v>
      </c>
      <c r="G4" s="63">
        <v>5</v>
      </c>
      <c r="H4" s="63">
        <v>5</v>
      </c>
      <c r="I4" s="63">
        <v>5</v>
      </c>
      <c r="J4" s="63">
        <v>0</v>
      </c>
      <c r="K4" s="63">
        <v>0</v>
      </c>
      <c r="L4" s="63">
        <v>-5</v>
      </c>
      <c r="M4" s="63">
        <v>-5</v>
      </c>
      <c r="N4" s="63">
        <v>-5</v>
      </c>
      <c r="O4" s="71">
        <v>-5</v>
      </c>
    </row>
    <row r="5" spans="1:17" x14ac:dyDescent="0.25">
      <c r="A5" s="16"/>
      <c r="B5" s="17"/>
      <c r="C5" s="18" t="s">
        <v>71</v>
      </c>
      <c r="D5" s="59" t="s">
        <v>70</v>
      </c>
      <c r="E5" s="59" t="s">
        <v>70</v>
      </c>
      <c r="F5" s="59" t="s">
        <v>70</v>
      </c>
      <c r="G5" s="59" t="s">
        <v>70</v>
      </c>
      <c r="H5" s="59" t="s">
        <v>70</v>
      </c>
      <c r="I5" s="59" t="s">
        <v>70</v>
      </c>
      <c r="J5" s="59" t="s">
        <v>70</v>
      </c>
      <c r="K5" s="59" t="s">
        <v>70</v>
      </c>
      <c r="L5" s="59" t="s">
        <v>70</v>
      </c>
      <c r="M5" s="59" t="s">
        <v>70</v>
      </c>
      <c r="N5" s="59" t="s">
        <v>70</v>
      </c>
      <c r="O5" s="59" t="s">
        <v>70</v>
      </c>
    </row>
    <row r="6" spans="1:17" ht="15" customHeight="1" x14ac:dyDescent="0.25">
      <c r="A6" s="3" t="s">
        <v>0</v>
      </c>
      <c r="B6" s="8"/>
      <c r="C6" s="4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61"/>
    </row>
    <row r="7" spans="1:17" ht="15" customHeight="1" x14ac:dyDescent="0.35">
      <c r="A7" s="7"/>
      <c r="B7" s="9"/>
      <c r="C7" s="2" t="s">
        <v>5</v>
      </c>
      <c r="D7" s="28">
        <v>5.3487064026930117E-3</v>
      </c>
      <c r="E7" s="28">
        <v>8.0670200564932903E-3</v>
      </c>
      <c r="F7" s="28">
        <v>1.3200397451566431E-2</v>
      </c>
      <c r="G7" s="28">
        <v>1.8323110075384064E-2</v>
      </c>
      <c r="H7" s="28">
        <v>2.3243500714237187E-2</v>
      </c>
      <c r="I7" s="28">
        <v>2.6858858534395666E-2</v>
      </c>
      <c r="J7" s="28">
        <v>4.3634866082448267E-3</v>
      </c>
      <c r="K7" s="28">
        <v>6.9831676117990057E-3</v>
      </c>
      <c r="L7" s="28">
        <v>1.1249241276247934E-2</v>
      </c>
      <c r="M7" s="28">
        <v>1.4490203421007103E-2</v>
      </c>
      <c r="N7" s="28">
        <v>1.8148984259227102E-2</v>
      </c>
      <c r="O7" s="28">
        <v>2.1955694375476509E-2</v>
      </c>
    </row>
    <row r="8" spans="1:17" ht="15" customHeight="1" x14ac:dyDescent="0.35">
      <c r="A8" s="7"/>
      <c r="B8" s="9"/>
      <c r="C8" s="2" t="s">
        <v>4</v>
      </c>
      <c r="D8" s="28">
        <v>0.79094289603025658</v>
      </c>
      <c r="E8" s="28">
        <v>0.88653476315428226</v>
      </c>
      <c r="F8" s="28">
        <v>0.92886681958856521</v>
      </c>
      <c r="G8" s="28">
        <v>0.78261298416248237</v>
      </c>
      <c r="H8" s="28">
        <v>0.84871724529639436</v>
      </c>
      <c r="I8" s="28">
        <v>0.69960708698874818</v>
      </c>
      <c r="J8" s="28">
        <v>1.48</v>
      </c>
      <c r="K8" s="28">
        <v>1.4703988084321098</v>
      </c>
      <c r="L8" s="28">
        <v>1.5764889343786761</v>
      </c>
      <c r="M8" s="28">
        <v>1.4388171866359947</v>
      </c>
      <c r="N8" s="28">
        <v>1.4085673723125156</v>
      </c>
      <c r="O8" s="28">
        <v>1.4924014676084767</v>
      </c>
    </row>
    <row r="9" spans="1:17" ht="15" customHeight="1" x14ac:dyDescent="0.35">
      <c r="A9" s="16"/>
      <c r="B9" s="19"/>
      <c r="C9" s="2" t="s">
        <v>6</v>
      </c>
      <c r="D9" s="28">
        <v>5.3953760753670567E-2</v>
      </c>
      <c r="E9" s="28">
        <v>3.6069758453724017E-2</v>
      </c>
      <c r="F9" s="28">
        <v>-3.5305105955624541E-2</v>
      </c>
      <c r="G9" s="28">
        <v>0.1669171015354631</v>
      </c>
      <c r="H9" s="28">
        <v>0.17477141176901115</v>
      </c>
      <c r="I9" s="28">
        <v>0.25973908356324588</v>
      </c>
      <c r="J9" s="28">
        <v>-0.5</v>
      </c>
      <c r="K9" s="28">
        <v>-0.56280606197343119</v>
      </c>
      <c r="L9" s="28">
        <v>-0.75134382486618989</v>
      </c>
      <c r="M9" s="28">
        <v>-0.70825134998965378</v>
      </c>
      <c r="N9" s="28">
        <v>-0.68712287002000905</v>
      </c>
      <c r="O9" s="28">
        <v>-1.0361059237236099</v>
      </c>
    </row>
    <row r="10" spans="1:17" ht="15" customHeight="1" x14ac:dyDescent="0.25">
      <c r="A10" s="3" t="s">
        <v>3</v>
      </c>
      <c r="B10" s="8"/>
      <c r="C10" s="4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2"/>
      <c r="O10" s="32"/>
    </row>
    <row r="11" spans="1:17" ht="15" customHeight="1" x14ac:dyDescent="0.25">
      <c r="A11" s="7"/>
      <c r="B11" s="9"/>
      <c r="C11" s="2" t="s">
        <v>2</v>
      </c>
      <c r="D11" s="28">
        <v>32.383298169507796</v>
      </c>
      <c r="E11" s="28">
        <v>44.811267002980877</v>
      </c>
      <c r="F11" s="28">
        <v>78.088495289405671</v>
      </c>
      <c r="G11" s="28">
        <v>98.350869552553959</v>
      </c>
      <c r="H11" s="28">
        <v>117.52776232676787</v>
      </c>
      <c r="I11" s="28">
        <v>131.08881130086937</v>
      </c>
      <c r="J11" s="28">
        <v>25.334717290549552</v>
      </c>
      <c r="K11" s="28">
        <v>32.155112544793724</v>
      </c>
      <c r="L11" s="28">
        <v>53.524883014202821</v>
      </c>
      <c r="M11" s="28">
        <v>60.75396981756704</v>
      </c>
      <c r="N11" s="28">
        <v>72.875112154083894</v>
      </c>
      <c r="O11" s="28">
        <v>83.081853903449343</v>
      </c>
    </row>
    <row r="12" spans="1:17" ht="15" customHeight="1" x14ac:dyDescent="0.25">
      <c r="A12" s="7"/>
      <c r="B12" s="9"/>
      <c r="C12" s="2" t="s">
        <v>1</v>
      </c>
      <c r="D12" s="28">
        <v>0.48012508889691191</v>
      </c>
      <c r="E12" s="28">
        <v>0.45771899970341551</v>
      </c>
      <c r="F12" s="28">
        <v>0.46008956263932271</v>
      </c>
      <c r="G12" s="28">
        <v>0.4625047075955831</v>
      </c>
      <c r="H12" s="28">
        <v>0.46707521722565221</v>
      </c>
      <c r="I12" s="28">
        <v>0.49774915032363809</v>
      </c>
      <c r="J12" s="28">
        <v>0.49591349807548379</v>
      </c>
      <c r="K12" s="28">
        <v>0.4952107786758651</v>
      </c>
      <c r="L12" s="28">
        <v>0.50028549857367366</v>
      </c>
      <c r="M12" s="28">
        <v>0.52678911049016985</v>
      </c>
      <c r="N12" s="28">
        <v>0.52291556743000434</v>
      </c>
      <c r="O12" s="28">
        <v>0.53930473235237053</v>
      </c>
    </row>
    <row r="13" spans="1:17" ht="15" customHeight="1" x14ac:dyDescent="0.35">
      <c r="A13" s="20"/>
      <c r="B13" s="21"/>
      <c r="C13" s="2" t="s">
        <v>7</v>
      </c>
      <c r="D13" s="28">
        <v>7.8539816339744835E-3</v>
      </c>
      <c r="E13" s="28">
        <v>1.2271846303085129E-2</v>
      </c>
      <c r="F13" s="28">
        <v>2.0106192982974676E-2</v>
      </c>
      <c r="G13" s="28">
        <v>3.1415926535897934E-2</v>
      </c>
      <c r="H13" s="28">
        <v>4.9087385212340517E-2</v>
      </c>
      <c r="I13" s="28">
        <v>7.793113276311181E-2</v>
      </c>
      <c r="J13" s="28">
        <v>7.8539816339744835E-3</v>
      </c>
      <c r="K13" s="28">
        <v>1.2271846303085129E-2</v>
      </c>
      <c r="L13" s="28">
        <v>2.0106192982974676E-2</v>
      </c>
      <c r="M13" s="28">
        <v>3.1415926535897934E-2</v>
      </c>
      <c r="N13" s="28">
        <v>4.9087385212340517E-2</v>
      </c>
      <c r="O13" s="28">
        <v>7.793113276311181E-2</v>
      </c>
    </row>
    <row r="14" spans="1:17" ht="15" customHeight="1" x14ac:dyDescent="0.25">
      <c r="A14" s="3" t="s">
        <v>25</v>
      </c>
      <c r="B14" s="8"/>
      <c r="C14" s="4"/>
      <c r="D14" s="29"/>
      <c r="E14" s="29"/>
      <c r="F14" s="29"/>
      <c r="G14" s="29"/>
      <c r="H14" s="29"/>
      <c r="I14" s="29"/>
      <c r="J14" s="60"/>
      <c r="K14" s="60"/>
      <c r="L14" s="60"/>
      <c r="M14" s="60"/>
      <c r="N14" s="61"/>
      <c r="O14" s="61"/>
    </row>
    <row r="15" spans="1:17" ht="15" customHeight="1" x14ac:dyDescent="0.25">
      <c r="A15" s="22"/>
      <c r="B15" s="23" t="s">
        <v>26</v>
      </c>
      <c r="C15" s="2" t="s">
        <v>2</v>
      </c>
      <c r="D15" s="30"/>
      <c r="E15" s="28"/>
      <c r="F15" s="28"/>
      <c r="G15" s="28"/>
      <c r="H15" s="28"/>
      <c r="I15" s="28"/>
      <c r="J15" s="31"/>
      <c r="K15" s="31"/>
      <c r="L15" s="31"/>
      <c r="M15" s="31"/>
      <c r="N15" s="31"/>
      <c r="O15" s="31"/>
    </row>
    <row r="16" spans="1:17" ht="15" customHeight="1" x14ac:dyDescent="0.25">
      <c r="A16" s="7"/>
      <c r="B16" s="9"/>
      <c r="C16" s="2" t="s">
        <v>1</v>
      </c>
      <c r="D16" s="30"/>
      <c r="E16" s="28"/>
      <c r="F16" s="28"/>
      <c r="G16" s="28"/>
      <c r="H16" s="28"/>
      <c r="I16" s="28"/>
      <c r="J16" s="31"/>
      <c r="K16" s="31"/>
      <c r="L16" s="31"/>
      <c r="M16" s="31"/>
      <c r="N16" s="31"/>
      <c r="O16" s="31"/>
    </row>
    <row r="17" spans="1:15" ht="15" customHeight="1" x14ac:dyDescent="0.25">
      <c r="A17" s="22"/>
      <c r="B17" s="23" t="s">
        <v>27</v>
      </c>
      <c r="C17" s="2" t="s">
        <v>2</v>
      </c>
      <c r="D17" s="30"/>
      <c r="E17" s="28"/>
      <c r="F17" s="28"/>
      <c r="G17" s="28"/>
      <c r="H17" s="28"/>
      <c r="I17" s="28"/>
      <c r="J17" s="31"/>
      <c r="K17" s="31"/>
      <c r="L17" s="31"/>
      <c r="M17" s="31"/>
      <c r="N17" s="31"/>
      <c r="O17" s="31"/>
    </row>
    <row r="18" spans="1:15" ht="15" customHeight="1" x14ac:dyDescent="0.25">
      <c r="A18" s="7"/>
      <c r="B18" s="10"/>
      <c r="C18" s="2" t="s">
        <v>1</v>
      </c>
      <c r="D18" s="30"/>
      <c r="E18" s="28"/>
      <c r="F18" s="28"/>
      <c r="G18" s="28"/>
      <c r="H18" s="28"/>
      <c r="I18" s="28"/>
      <c r="J18" s="31"/>
      <c r="K18" s="31"/>
      <c r="L18" s="31"/>
      <c r="M18" s="31"/>
      <c r="N18" s="31"/>
      <c r="O18" s="31"/>
    </row>
    <row r="19" spans="1:15" ht="15" customHeight="1" x14ac:dyDescent="0.25">
      <c r="A19" s="22"/>
      <c r="B19" s="23" t="s">
        <v>28</v>
      </c>
      <c r="C19" s="2" t="s">
        <v>2</v>
      </c>
      <c r="D19" s="30"/>
      <c r="E19" s="28"/>
      <c r="F19" s="28"/>
      <c r="G19" s="28"/>
      <c r="H19" s="28"/>
      <c r="I19" s="28"/>
      <c r="J19" s="31"/>
      <c r="K19" s="31"/>
      <c r="L19" s="31"/>
      <c r="M19" s="31"/>
      <c r="N19" s="31"/>
      <c r="O19" s="31"/>
    </row>
    <row r="20" spans="1:15" ht="15" customHeight="1" x14ac:dyDescent="0.25">
      <c r="A20" s="7"/>
      <c r="B20" s="10"/>
      <c r="C20" s="2" t="s">
        <v>1</v>
      </c>
      <c r="D20" s="30"/>
      <c r="E20" s="28"/>
      <c r="F20" s="28"/>
      <c r="G20" s="28"/>
      <c r="H20" s="28"/>
      <c r="I20" s="28"/>
      <c r="J20" s="31"/>
      <c r="K20" s="31"/>
      <c r="L20" s="31"/>
      <c r="M20" s="31"/>
      <c r="N20" s="31"/>
      <c r="O20" s="31"/>
    </row>
    <row r="21" spans="1:15" ht="15" customHeight="1" x14ac:dyDescent="0.25">
      <c r="A21" s="22"/>
      <c r="B21" s="23" t="s">
        <v>29</v>
      </c>
      <c r="C21" s="2" t="s">
        <v>2</v>
      </c>
      <c r="D21" s="30"/>
      <c r="E21" s="28"/>
      <c r="F21" s="28"/>
      <c r="G21" s="28"/>
      <c r="H21" s="28"/>
      <c r="I21" s="28"/>
      <c r="J21" s="31"/>
      <c r="K21" s="31"/>
      <c r="L21" s="31"/>
      <c r="M21" s="31"/>
      <c r="N21" s="31"/>
      <c r="O21" s="31"/>
    </row>
    <row r="22" spans="1:15" ht="15" customHeight="1" x14ac:dyDescent="0.25">
      <c r="A22" s="7"/>
      <c r="B22" s="10"/>
      <c r="C22" s="2" t="s">
        <v>1</v>
      </c>
      <c r="D22" s="30"/>
      <c r="E22" s="28"/>
      <c r="F22" s="28"/>
      <c r="G22" s="28"/>
      <c r="H22" s="28"/>
      <c r="I22" s="28"/>
      <c r="J22" s="31"/>
      <c r="K22" s="31"/>
      <c r="L22" s="31"/>
      <c r="M22" s="31"/>
      <c r="N22" s="31"/>
      <c r="O22" s="31"/>
    </row>
    <row r="23" spans="1:15" ht="15" customHeight="1" x14ac:dyDescent="0.25">
      <c r="A23" s="22"/>
      <c r="B23" s="23" t="s">
        <v>30</v>
      </c>
      <c r="C23" s="2" t="s">
        <v>2</v>
      </c>
      <c r="D23" s="30"/>
      <c r="E23" s="28"/>
      <c r="F23" s="28"/>
      <c r="G23" s="28"/>
      <c r="H23" s="28"/>
      <c r="I23" s="28"/>
      <c r="J23" s="31"/>
      <c r="K23" s="31"/>
      <c r="L23" s="31"/>
      <c r="M23" s="31"/>
      <c r="N23" s="31"/>
      <c r="O23" s="31"/>
    </row>
    <row r="24" spans="1:15" ht="15" customHeight="1" x14ac:dyDescent="0.25">
      <c r="A24" s="7"/>
      <c r="B24" s="10"/>
      <c r="C24" s="2" t="s">
        <v>1</v>
      </c>
      <c r="D24" s="30"/>
      <c r="E24" s="28"/>
      <c r="F24" s="28"/>
      <c r="G24" s="28"/>
      <c r="H24" s="28"/>
      <c r="I24" s="28"/>
      <c r="J24" s="31"/>
      <c r="K24" s="31"/>
      <c r="L24" s="31"/>
      <c r="M24" s="31"/>
      <c r="N24" s="31"/>
      <c r="O24" s="31"/>
    </row>
    <row r="25" spans="1:15" ht="15" customHeight="1" x14ac:dyDescent="0.25">
      <c r="A25" s="3" t="s">
        <v>22</v>
      </c>
      <c r="B25" s="8"/>
      <c r="C25" s="4"/>
      <c r="D25" s="29"/>
      <c r="E25" s="29"/>
      <c r="F25" s="29"/>
      <c r="G25" s="29"/>
      <c r="H25" s="29"/>
      <c r="I25" s="29"/>
      <c r="J25" s="60"/>
      <c r="K25" s="60"/>
      <c r="L25" s="60"/>
      <c r="M25" s="60"/>
      <c r="N25" s="61"/>
      <c r="O25" s="61"/>
    </row>
    <row r="26" spans="1:15" ht="15" customHeight="1" x14ac:dyDescent="0.35">
      <c r="A26" s="7"/>
      <c r="B26" s="9"/>
      <c r="C26" s="2" t="s">
        <v>5</v>
      </c>
      <c r="D26" s="30"/>
      <c r="E26" s="28"/>
      <c r="F26" s="28"/>
      <c r="G26" s="28"/>
      <c r="H26" s="28"/>
      <c r="I26" s="28"/>
      <c r="J26" s="31"/>
      <c r="K26" s="31"/>
      <c r="L26" s="31"/>
      <c r="M26" s="31"/>
      <c r="N26" s="31"/>
      <c r="O26" s="31"/>
    </row>
    <row r="27" spans="1:15" ht="15" customHeight="1" x14ac:dyDescent="0.35">
      <c r="A27" s="7"/>
      <c r="B27" s="9"/>
      <c r="C27" s="2" t="s">
        <v>23</v>
      </c>
      <c r="D27" s="30"/>
      <c r="E27" s="28"/>
      <c r="F27" s="28"/>
      <c r="G27" s="28"/>
      <c r="H27" s="28"/>
      <c r="I27" s="28"/>
      <c r="J27" s="31"/>
      <c r="K27" s="31"/>
      <c r="L27" s="31"/>
      <c r="M27" s="31"/>
      <c r="N27" s="31"/>
      <c r="O27" s="31"/>
    </row>
    <row r="28" spans="1:15" ht="15" customHeight="1" x14ac:dyDescent="0.35">
      <c r="A28" s="7"/>
      <c r="B28" s="10"/>
      <c r="C28" s="2" t="s">
        <v>6</v>
      </c>
      <c r="D28" s="30"/>
      <c r="E28" s="28"/>
      <c r="F28" s="28"/>
      <c r="G28" s="28"/>
      <c r="H28" s="28"/>
      <c r="I28" s="28"/>
      <c r="J28" s="31"/>
      <c r="K28" s="31"/>
      <c r="L28" s="31"/>
      <c r="M28" s="31"/>
      <c r="N28" s="31"/>
      <c r="O28" s="31"/>
    </row>
    <row r="29" spans="1:15" ht="15" customHeight="1" x14ac:dyDescent="0.25">
      <c r="A29" s="3" t="s">
        <v>9</v>
      </c>
      <c r="B29" s="8"/>
      <c r="C29" s="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2"/>
      <c r="O29" s="32"/>
    </row>
    <row r="30" spans="1:15" ht="15" customHeight="1" x14ac:dyDescent="0.25">
      <c r="A30" s="7"/>
      <c r="B30" s="9"/>
      <c r="C30" s="2" t="s">
        <v>2</v>
      </c>
      <c r="D30" s="31">
        <v>36.853192858692765</v>
      </c>
      <c r="E30" s="28">
        <v>34.988180415520411</v>
      </c>
      <c r="F30" s="28">
        <v>34.885542519881774</v>
      </c>
      <c r="G30" s="28">
        <v>34.652820733695108</v>
      </c>
      <c r="H30" s="28">
        <v>35.274138714828226</v>
      </c>
      <c r="I30" s="31">
        <v>33.794683102985118</v>
      </c>
      <c r="J30" s="31">
        <v>30.499719282610226</v>
      </c>
      <c r="K30" s="31">
        <v>29.853415656256253</v>
      </c>
      <c r="L30" s="31">
        <v>29.102129763891906</v>
      </c>
      <c r="M30" s="31">
        <v>25.838135289415092</v>
      </c>
      <c r="N30" s="31">
        <v>31.76234003008226</v>
      </c>
      <c r="O30" s="31">
        <v>31.355149282444156</v>
      </c>
    </row>
    <row r="31" spans="1:15" ht="15" customHeight="1" x14ac:dyDescent="0.25">
      <c r="A31" s="16"/>
      <c r="B31" s="19"/>
      <c r="C31" s="2" t="s">
        <v>1</v>
      </c>
      <c r="D31" s="28">
        <v>-141.91312747540442</v>
      </c>
      <c r="E31" s="28">
        <v>-148.5815380827957</v>
      </c>
      <c r="F31" s="28">
        <v>-172.50322409559084</v>
      </c>
      <c r="G31" s="28">
        <v>-181.90818706234771</v>
      </c>
      <c r="H31" s="28">
        <v>-196.62283144370326</v>
      </c>
      <c r="I31" s="31">
        <v>-195.17718258650984</v>
      </c>
      <c r="J31" s="31">
        <v>-113.37497356531014</v>
      </c>
      <c r="K31" s="31">
        <v>-120.69764502314754</v>
      </c>
      <c r="L31" s="31">
        <v>-132.88820328380734</v>
      </c>
      <c r="M31" s="31">
        <v>-121.03674027684893</v>
      </c>
      <c r="N31" s="31">
        <v>-165.51339828137117</v>
      </c>
      <c r="O31" s="31">
        <v>-168.5132702496729</v>
      </c>
    </row>
    <row r="32" spans="1:15" ht="15" customHeight="1" x14ac:dyDescent="0.25">
      <c r="A32" s="3" t="s">
        <v>10</v>
      </c>
      <c r="B32" s="8"/>
      <c r="C32" s="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2"/>
      <c r="O32" s="32"/>
    </row>
    <row r="33" spans="1:15" ht="15" customHeight="1" x14ac:dyDescent="0.25">
      <c r="A33" s="7"/>
      <c r="B33" s="9"/>
      <c r="C33" s="2" t="s">
        <v>2</v>
      </c>
      <c r="D33" s="28">
        <v>34.921608288928581</v>
      </c>
      <c r="E33" s="28">
        <v>32.58425869985436</v>
      </c>
      <c r="F33" s="28">
        <v>33.160527840323113</v>
      </c>
      <c r="G33" s="28">
        <v>32.588395775109689</v>
      </c>
      <c r="H33" s="28">
        <v>32.951353082129053</v>
      </c>
      <c r="I33" s="31">
        <v>31.041246493660463</v>
      </c>
      <c r="J33" s="31">
        <v>29.453303238467164</v>
      </c>
      <c r="K33" s="31">
        <v>30.3393677297592</v>
      </c>
      <c r="L33" s="31">
        <v>28.998616544641965</v>
      </c>
      <c r="M33" s="31">
        <v>26.318599935160403</v>
      </c>
      <c r="N33" s="31">
        <v>29.947221285412603</v>
      </c>
      <c r="O33" s="31">
        <v>28.52415738464061</v>
      </c>
    </row>
    <row r="34" spans="1:15" ht="15" customHeight="1" x14ac:dyDescent="0.25">
      <c r="A34" s="16"/>
      <c r="B34" s="19"/>
      <c r="C34" s="2" t="s">
        <v>1</v>
      </c>
      <c r="D34" s="28">
        <v>-126.94053370651909</v>
      </c>
      <c r="E34" s="28">
        <v>-130.95988301526083</v>
      </c>
      <c r="F34" s="28">
        <v>-155.95266796753131</v>
      </c>
      <c r="G34" s="28">
        <v>-163.09144625166653</v>
      </c>
      <c r="H34" s="28">
        <v>-174.82054786597237</v>
      </c>
      <c r="I34" s="31">
        <v>-170.22956241530656</v>
      </c>
      <c r="J34" s="31">
        <v>-102.08739748648617</v>
      </c>
      <c r="K34" s="31">
        <v>-117.72941448691364</v>
      </c>
      <c r="L34" s="31">
        <v>-126.57454294269675</v>
      </c>
      <c r="M34" s="31">
        <v>-118.37406987637036</v>
      </c>
      <c r="N34" s="31">
        <v>-147.74787132857284</v>
      </c>
      <c r="O34" s="31">
        <v>-144.27795342837578</v>
      </c>
    </row>
    <row r="35" spans="1:15" ht="15" customHeight="1" x14ac:dyDescent="0.25">
      <c r="A35" s="3" t="s">
        <v>8</v>
      </c>
      <c r="B35" s="8"/>
      <c r="C35" s="4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32"/>
    </row>
    <row r="36" spans="1:15" ht="15" customHeight="1" x14ac:dyDescent="0.25">
      <c r="A36" s="24"/>
      <c r="B36" s="14" t="s">
        <v>31</v>
      </c>
      <c r="C36" s="2" t="s">
        <v>2</v>
      </c>
      <c r="D36" s="31">
        <v>29.597392169948414</v>
      </c>
      <c r="E36" s="31">
        <v>27.130724360488482</v>
      </c>
      <c r="F36" s="31">
        <v>29.832315813585392</v>
      </c>
      <c r="G36" s="31">
        <v>30.147954038314765</v>
      </c>
      <c r="H36" s="31">
        <v>30.839438089762922</v>
      </c>
      <c r="I36" s="31">
        <v>29.547925599562607</v>
      </c>
      <c r="J36" s="31">
        <v>26.956592573759277</v>
      </c>
      <c r="K36" s="31">
        <v>33.492821453016298</v>
      </c>
      <c r="L36" s="31">
        <v>24.774735382292409</v>
      </c>
      <c r="M36" s="31">
        <v>21.907147928706106</v>
      </c>
      <c r="N36" s="31">
        <v>27.633235826171582</v>
      </c>
      <c r="O36" s="31">
        <v>27.391875660708596</v>
      </c>
    </row>
    <row r="37" spans="1:15" ht="15" customHeight="1" x14ac:dyDescent="0.25">
      <c r="A37" s="24"/>
      <c r="B37" s="14"/>
      <c r="C37" s="2" t="s">
        <v>1</v>
      </c>
      <c r="D37" s="31">
        <v>-91.463470152002571</v>
      </c>
      <c r="E37" s="31">
        <v>-91.376579628911273</v>
      </c>
      <c r="F37" s="31">
        <v>-125.21415914035396</v>
      </c>
      <c r="G37" s="31">
        <v>-136.26012274424264</v>
      </c>
      <c r="H37" s="31">
        <v>-150.04568086954816</v>
      </c>
      <c r="I37" s="31">
        <v>-148.79492402928835</v>
      </c>
      <c r="J37" s="31">
        <v>-80.042983557299166</v>
      </c>
      <c r="K37" s="31">
        <v>-122.35044526672849</v>
      </c>
      <c r="L37" s="31">
        <v>-90.728966471322266</v>
      </c>
      <c r="M37" s="31">
        <v>-80.147501814965793</v>
      </c>
      <c r="N37" s="31">
        <v>-121.99665650479298</v>
      </c>
      <c r="O37" s="31">
        <v>-125.33318974860649</v>
      </c>
    </row>
    <row r="38" spans="1:15" ht="15" customHeight="1" x14ac:dyDescent="0.25">
      <c r="A38" s="24"/>
      <c r="B38" s="14" t="s">
        <v>32</v>
      </c>
      <c r="C38" s="2" t="s">
        <v>2</v>
      </c>
      <c r="D38" s="31">
        <v>34.273469358584286</v>
      </c>
      <c r="E38" s="31">
        <v>35.412208758002727</v>
      </c>
      <c r="F38" s="31">
        <v>33.211269787362369</v>
      </c>
      <c r="G38" s="31">
        <v>32.350895734186054</v>
      </c>
      <c r="H38" s="31">
        <v>31.49291094973173</v>
      </c>
      <c r="I38" s="31">
        <v>30.031604306939833</v>
      </c>
      <c r="J38" s="31">
        <v>26.044192381015783</v>
      </c>
      <c r="K38" s="31">
        <v>25.02983727550993</v>
      </c>
      <c r="L38" s="31">
        <v>30.675978660554108</v>
      </c>
      <c r="M38" s="31">
        <v>30.078458242275193</v>
      </c>
      <c r="N38" s="31">
        <v>29.885657594388299</v>
      </c>
      <c r="O38" s="31">
        <v>27.681522431903563</v>
      </c>
    </row>
    <row r="39" spans="1:15" ht="15" customHeight="1" x14ac:dyDescent="0.25">
      <c r="A39" s="24"/>
      <c r="B39" s="14"/>
      <c r="C39" s="2" t="s">
        <v>1</v>
      </c>
      <c r="D39" s="31">
        <v>-119.97920855212618</v>
      </c>
      <c r="E39" s="31">
        <v>-141.18569188630772</v>
      </c>
      <c r="F39" s="31">
        <v>-152.99965006233379</v>
      </c>
      <c r="G39" s="31">
        <v>-158.80081478662794</v>
      </c>
      <c r="H39" s="31">
        <v>-162.91581673545414</v>
      </c>
      <c r="I39" s="31">
        <v>-160.7510799982181</v>
      </c>
      <c r="J39" s="31">
        <v>-83.368882469098565</v>
      </c>
      <c r="K39" s="31">
        <v>-87.325223745699034</v>
      </c>
      <c r="L39" s="31">
        <v>-132.67459797863702</v>
      </c>
      <c r="M39" s="31">
        <v>-137.72477458925897</v>
      </c>
      <c r="N39" s="31">
        <v>-144.66722622430657</v>
      </c>
      <c r="O39" s="31">
        <v>-136.00245180681873</v>
      </c>
    </row>
    <row r="40" spans="1:15" ht="15" customHeight="1" x14ac:dyDescent="0.25">
      <c r="A40" s="24"/>
      <c r="B40" s="14" t="s">
        <v>33</v>
      </c>
      <c r="C40" s="2" t="s">
        <v>2</v>
      </c>
      <c r="D40" s="31">
        <v>38.994109334129554</v>
      </c>
      <c r="E40" s="31">
        <v>37.985774398325376</v>
      </c>
      <c r="F40" s="31">
        <v>35.010343896920475</v>
      </c>
      <c r="G40" s="31">
        <v>34.01928799059678</v>
      </c>
      <c r="H40" s="31">
        <v>33.539990339122447</v>
      </c>
      <c r="I40" s="31">
        <v>31.080292117613315</v>
      </c>
      <c r="J40" s="31">
        <v>31.060641106272556</v>
      </c>
      <c r="K40" s="31">
        <v>32.326327761928084</v>
      </c>
      <c r="L40" s="31">
        <v>33.411886078824232</v>
      </c>
      <c r="M40" s="31">
        <v>30.618446913935223</v>
      </c>
      <c r="N40" s="31">
        <v>31.393172071028633</v>
      </c>
      <c r="O40" s="31">
        <v>29.785000033470627</v>
      </c>
    </row>
    <row r="41" spans="1:15" ht="15" customHeight="1" x14ac:dyDescent="0.25">
      <c r="A41" s="24"/>
      <c r="B41" s="14"/>
      <c r="C41" s="2" t="s">
        <v>1</v>
      </c>
      <c r="D41" s="31">
        <v>-149.20284987223548</v>
      </c>
      <c r="E41" s="31">
        <v>-163.28130015784274</v>
      </c>
      <c r="F41" s="31">
        <v>-170.81830397613177</v>
      </c>
      <c r="G41" s="31">
        <v>-176.34008851245744</v>
      </c>
      <c r="H41" s="31">
        <v>-182.68190244657674</v>
      </c>
      <c r="I41" s="31">
        <v>-174.58418737383579</v>
      </c>
      <c r="J41" s="31">
        <v>-112.16974809846675</v>
      </c>
      <c r="K41" s="31">
        <v>-131.80969319520256</v>
      </c>
      <c r="L41" s="31">
        <v>-156.22579020939244</v>
      </c>
      <c r="M41" s="31">
        <v>-148.69016830382034</v>
      </c>
      <c r="N41" s="31">
        <v>-160.80383365305528</v>
      </c>
      <c r="O41" s="31">
        <v>-156.66694916534763</v>
      </c>
    </row>
    <row r="42" spans="1:15" ht="15" customHeight="1" x14ac:dyDescent="0.25">
      <c r="A42" s="24"/>
      <c r="B42" s="14" t="s">
        <v>34</v>
      </c>
      <c r="C42" s="2" t="s">
        <v>2</v>
      </c>
      <c r="D42" s="31">
        <v>42.050953142155926</v>
      </c>
      <c r="E42" s="31">
        <v>38.485338714130222</v>
      </c>
      <c r="F42" s="31">
        <v>37.994218532019126</v>
      </c>
      <c r="G42" s="31">
        <v>36.306027779440704</v>
      </c>
      <c r="H42" s="31">
        <v>36.362063372479518</v>
      </c>
      <c r="I42" s="31">
        <v>34.406031732120489</v>
      </c>
      <c r="J42" s="31">
        <v>36.11418873986819</v>
      </c>
      <c r="K42" s="31">
        <v>34.889540533668864</v>
      </c>
      <c r="L42" s="31">
        <v>35.859091361682232</v>
      </c>
      <c r="M42" s="31">
        <v>31.616752619263774</v>
      </c>
      <c r="N42" s="31">
        <v>31.886196344876758</v>
      </c>
      <c r="O42" s="31">
        <v>31.746294650094196</v>
      </c>
    </row>
    <row r="43" spans="1:15" ht="15" customHeight="1" x14ac:dyDescent="0.25">
      <c r="A43" s="24"/>
      <c r="B43" s="14"/>
      <c r="C43" s="2" t="s">
        <v>1</v>
      </c>
      <c r="D43" s="31">
        <v>-170.50422797951074</v>
      </c>
      <c r="E43" s="31">
        <v>-173.51110151360967</v>
      </c>
      <c r="F43" s="31">
        <v>-192.67145104021003</v>
      </c>
      <c r="G43" s="31">
        <v>-194.41025609189131</v>
      </c>
      <c r="H43" s="31">
        <v>-204.1173279151111</v>
      </c>
      <c r="I43" s="31">
        <v>-200.61824190872215</v>
      </c>
      <c r="J43" s="31">
        <v>-142.30872387265126</v>
      </c>
      <c r="K43" s="31">
        <v>-151.09185379695796</v>
      </c>
      <c r="L43" s="31">
        <v>-175.5412940351946</v>
      </c>
      <c r="M43" s="31">
        <v>-159.52674376676183</v>
      </c>
      <c r="N43" s="31">
        <v>-167.69115592861101</v>
      </c>
      <c r="O43" s="31">
        <v>-173.5334909257268</v>
      </c>
    </row>
    <row r="44" spans="1:15" ht="15" customHeight="1" x14ac:dyDescent="0.25">
      <c r="A44" s="24"/>
      <c r="B44" s="14" t="s">
        <v>35</v>
      </c>
      <c r="C44" s="2" t="s">
        <v>2</v>
      </c>
      <c r="D44" s="31">
        <v>51.149077182565904</v>
      </c>
      <c r="E44" s="31">
        <v>40.712875485867961</v>
      </c>
      <c r="F44" s="31">
        <v>41.205159164995685</v>
      </c>
      <c r="G44" s="31">
        <v>42.342527697492784</v>
      </c>
      <c r="H44" s="31">
        <v>41.444345551485682</v>
      </c>
      <c r="I44" s="31">
        <v>38.426678381543447</v>
      </c>
      <c r="J44" s="31">
        <v>38.343231641981994</v>
      </c>
      <c r="K44" s="31">
        <v>37.960299583596182</v>
      </c>
      <c r="L44" s="31">
        <v>43.795042753835574</v>
      </c>
      <c r="M44" s="31">
        <v>36.216636710492459</v>
      </c>
      <c r="N44" s="31">
        <v>37.268695932777256</v>
      </c>
      <c r="O44" s="31">
        <v>29.462033465101307</v>
      </c>
    </row>
    <row r="45" spans="1:15" ht="15" customHeight="1" x14ac:dyDescent="0.25">
      <c r="A45" s="24"/>
      <c r="B45" s="14"/>
      <c r="C45" s="2" t="s">
        <v>1</v>
      </c>
      <c r="D45" s="31">
        <v>-219.83345585515977</v>
      </c>
      <c r="E45" s="31">
        <v>-190.18644467645123</v>
      </c>
      <c r="F45" s="31">
        <v>-218.65685112434699</v>
      </c>
      <c r="G45" s="31">
        <v>-238.61507097799168</v>
      </c>
      <c r="H45" s="31">
        <v>-243.76027219352241</v>
      </c>
      <c r="I45" s="31">
        <v>-234.54585453599992</v>
      </c>
      <c r="J45" s="31">
        <v>-157.60265337699408</v>
      </c>
      <c r="K45" s="31">
        <v>-171.291982843824</v>
      </c>
      <c r="L45" s="31">
        <v>-227.97540303616651</v>
      </c>
      <c r="M45" s="31">
        <v>-193.37022718944556</v>
      </c>
      <c r="N45" s="31">
        <v>-207.53925151122732</v>
      </c>
      <c r="O45" s="31">
        <v>-164.33975851003095</v>
      </c>
    </row>
    <row r="46" spans="1:15" ht="15" customHeight="1" x14ac:dyDescent="0.25">
      <c r="A46" s="24"/>
      <c r="B46" s="14" t="s">
        <v>36</v>
      </c>
      <c r="C46" s="2" t="s">
        <v>2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56</v>
      </c>
      <c r="N46" s="31" t="s">
        <v>56</v>
      </c>
      <c r="O46" s="31" t="s">
        <v>56</v>
      </c>
    </row>
    <row r="47" spans="1:15" ht="15" customHeight="1" x14ac:dyDescent="0.25">
      <c r="A47" s="24"/>
      <c r="B47" s="14"/>
      <c r="C47" s="2" t="s">
        <v>1</v>
      </c>
      <c r="D47" s="31" t="s">
        <v>56</v>
      </c>
      <c r="E47" s="31" t="s">
        <v>56</v>
      </c>
      <c r="F47" s="31" t="s">
        <v>56</v>
      </c>
      <c r="G47" s="31" t="s">
        <v>56</v>
      </c>
      <c r="H47" s="31" t="s">
        <v>56</v>
      </c>
      <c r="I47" s="31" t="s">
        <v>56</v>
      </c>
      <c r="J47" s="31" t="s">
        <v>56</v>
      </c>
      <c r="K47" s="31" t="s">
        <v>56</v>
      </c>
      <c r="L47" s="31" t="s">
        <v>56</v>
      </c>
      <c r="M47" s="31" t="s">
        <v>56</v>
      </c>
      <c r="N47" s="31" t="s">
        <v>56</v>
      </c>
      <c r="O47" s="31" t="s">
        <v>56</v>
      </c>
    </row>
    <row r="48" spans="1:15" ht="15" customHeight="1" x14ac:dyDescent="0.25">
      <c r="A48" s="24"/>
      <c r="B48" s="14" t="s">
        <v>37</v>
      </c>
      <c r="C48" s="2" t="s">
        <v>2</v>
      </c>
      <c r="D48" s="31" t="s">
        <v>56</v>
      </c>
      <c r="E48" s="31" t="s">
        <v>56</v>
      </c>
      <c r="F48" s="31" t="s">
        <v>56</v>
      </c>
      <c r="G48" s="31" t="s">
        <v>56</v>
      </c>
      <c r="H48" s="31" t="s">
        <v>56</v>
      </c>
      <c r="I48" s="31" t="s">
        <v>56</v>
      </c>
      <c r="J48" s="31" t="s">
        <v>56</v>
      </c>
      <c r="K48" s="31" t="s">
        <v>56</v>
      </c>
      <c r="L48" s="31" t="s">
        <v>56</v>
      </c>
      <c r="M48" s="31" t="s">
        <v>56</v>
      </c>
      <c r="N48" s="31" t="s">
        <v>56</v>
      </c>
      <c r="O48" s="31" t="s">
        <v>56</v>
      </c>
    </row>
    <row r="49" spans="1:15" ht="15" customHeight="1" x14ac:dyDescent="0.25">
      <c r="A49" s="25"/>
      <c r="B49" s="18"/>
      <c r="C49" s="2" t="s">
        <v>1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56</v>
      </c>
      <c r="J49" s="31" t="s">
        <v>56</v>
      </c>
      <c r="K49" s="31" t="s">
        <v>56</v>
      </c>
      <c r="L49" s="31" t="s">
        <v>56</v>
      </c>
      <c r="M49" s="31" t="s">
        <v>56</v>
      </c>
      <c r="N49" s="31" t="s">
        <v>56</v>
      </c>
      <c r="O49" s="31" t="s">
        <v>56</v>
      </c>
    </row>
    <row r="50" spans="1:15" x14ac:dyDescent="0.25">
      <c r="A50" t="s">
        <v>38</v>
      </c>
    </row>
  </sheetData>
  <sheetProtection algorithmName="SHA-512" hashValue="ymVzc9aFMYBJRLep4FQT5DEdH5rTacYxuCuITgcmLL+K2zwfLHWJOpf/rq0gC/HId9LdXjN5BaMlCLhVq4wa9w==" saltValue="s4/qxHTaILkWPr4cgFa2YA==" spinCount="100000" sheet="1" objects="1" scenarios="1"/>
  <pageMargins left="0.7" right="0.7" top="0.75" bottom="0.75" header="0.3" footer="0.3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workbookViewId="0"/>
  </sheetViews>
  <sheetFormatPr defaultRowHeight="12" x14ac:dyDescent="0.2"/>
  <cols>
    <col min="1" max="1" width="9.140625" style="36"/>
    <col min="2" max="2" width="13.85546875" style="36" bestFit="1" customWidth="1"/>
    <col min="3" max="3" width="13.42578125" style="36" bestFit="1" customWidth="1"/>
    <col min="4" max="4" width="14.85546875" style="36" bestFit="1" customWidth="1"/>
    <col min="5" max="5" width="13.42578125" style="36" bestFit="1" customWidth="1"/>
    <col min="6" max="11" width="10.85546875" style="36" bestFit="1" customWidth="1"/>
    <col min="12" max="16384" width="9.140625" style="34"/>
  </cols>
  <sheetData>
    <row r="1" spans="1:15" x14ac:dyDescent="0.2">
      <c r="A1" s="56" t="s">
        <v>39</v>
      </c>
    </row>
    <row r="2" spans="1:15" x14ac:dyDescent="0.2">
      <c r="A2" s="38" t="str">
        <f>IF(ISBLANK(TechData!C1),"",TechData!C1)</f>
        <v>Type</v>
      </c>
      <c r="B2" s="37" t="str">
        <f>IF(ISBLANK(TechData!D1),"",TechData!D1)</f>
        <v>CS401</v>
      </c>
      <c r="C2" s="37" t="str">
        <f>IF(ISBLANK(TechData!E1),"",TechData!E1)</f>
        <v>CS401</v>
      </c>
      <c r="D2" s="37" t="str">
        <f>IF(ISBLANK(TechData!F1),"",TechData!F1)</f>
        <v>CS401</v>
      </c>
      <c r="E2" s="37" t="str">
        <f>IF(ISBLANK(TechData!G1),"",TechData!G1)</f>
        <v>CS401</v>
      </c>
      <c r="F2" s="37" t="str">
        <f>IF(ISBLANK(TechData!H1),"",TechData!H1)</f>
        <v>CS401</v>
      </c>
      <c r="G2" s="37" t="str">
        <f>IF(ISBLANK(TechData!I1),"",TechData!I1)</f>
        <v>CS401</v>
      </c>
      <c r="H2" s="37" t="str">
        <f>IF(ISBLANK(TechData!J1),"",TechData!J1)</f>
        <v>CS401</v>
      </c>
      <c r="I2" s="37" t="str">
        <f>IF(ISBLANK(TechData!K1),"",TechData!K1)</f>
        <v>CS401</v>
      </c>
      <c r="J2" s="37" t="str">
        <f>IF(ISBLANK(TechData!L1),"",TechData!L1)</f>
        <v>CS401</v>
      </c>
      <c r="K2" s="37" t="str">
        <f>IF(ISBLANK(TechData!M1),"",TechData!M1)</f>
        <v>CS401</v>
      </c>
    </row>
    <row r="3" spans="1:15" x14ac:dyDescent="0.2">
      <c r="A3" s="38" t="str">
        <f>IF(ISBLANK(TechData!C2),"",TechData!C2)</f>
        <v>Nominal Size</v>
      </c>
      <c r="B3" s="37">
        <f>IF(ISBLANK(TechData!D2),"",TechData!D2)</f>
        <v>100</v>
      </c>
      <c r="C3" s="37">
        <f>IF(ISBLANK(TechData!E2),"",TechData!E2)</f>
        <v>125</v>
      </c>
      <c r="D3" s="37">
        <f>IF(ISBLANK(TechData!F2),"",TechData!F2)</f>
        <v>160</v>
      </c>
      <c r="E3" s="37">
        <f>IF(ISBLANK(TechData!G2),"",TechData!G2)</f>
        <v>200</v>
      </c>
      <c r="F3" s="37">
        <f>IF(ISBLANK(TechData!H2),"",TechData!H2)</f>
        <v>250</v>
      </c>
      <c r="G3" s="37">
        <f>IF(ISBLANK(TechData!I2),"",TechData!I2)</f>
        <v>315</v>
      </c>
      <c r="H3" s="37">
        <f>IF(ISBLANK(TechData!J2),"",TechData!J2)</f>
        <v>100</v>
      </c>
      <c r="I3" s="37">
        <f>IF(ISBLANK(TechData!K2),"",TechData!K2)</f>
        <v>125</v>
      </c>
      <c r="J3" s="37">
        <f>IF(ISBLANK(TechData!L2),"",TechData!L2)</f>
        <v>160</v>
      </c>
      <c r="K3" s="37">
        <f>IF(ISBLANK(TechData!M2),"",TechData!M2)</f>
        <v>200</v>
      </c>
      <c r="O3" s="35"/>
    </row>
    <row r="4" spans="1:15" x14ac:dyDescent="0.2">
      <c r="A4" s="38" t="str">
        <f>IF(ISBLANK(TechData!C3),"",TechData!C3)</f>
        <v>Flow pattern</v>
      </c>
      <c r="B4" s="37" t="str">
        <f>IF(ISBLANK(TechData!D3),"",TechData!D3)</f>
        <v>horizontal</v>
      </c>
      <c r="C4" s="37" t="str">
        <f>IF(ISBLANK(TechData!E3),"",TechData!E3)</f>
        <v>horizontal</v>
      </c>
      <c r="D4" s="37" t="str">
        <f>IF(ISBLANK(TechData!F3),"",TechData!F3)</f>
        <v>horizontal</v>
      </c>
      <c r="E4" s="37" t="str">
        <f>IF(ISBLANK(TechData!G3),"",TechData!G3)</f>
        <v>horizontal</v>
      </c>
      <c r="F4" s="37" t="str">
        <f>IF(ISBLANK(TechData!H3),"",TechData!H3)</f>
        <v>horizontal</v>
      </c>
      <c r="G4" s="37" t="str">
        <f>IF(ISBLANK(TechData!I3),"",TechData!I3)</f>
        <v>horizontal</v>
      </c>
      <c r="H4" s="37" t="str">
        <f>IF(ISBLANK(TechData!J3),"",TechData!J3)</f>
        <v>vertical</v>
      </c>
      <c r="I4" s="37" t="str">
        <f>IF(ISBLANK(TechData!K3),"",TechData!K3)</f>
        <v>vertical</v>
      </c>
      <c r="J4" s="37" t="str">
        <f>IF(ISBLANK(TechData!L3),"",TechData!L3)</f>
        <v>vertical</v>
      </c>
      <c r="K4" s="37" t="str">
        <f>IF(ISBLANK(TechData!M3),"",TechData!M3)</f>
        <v>vertical</v>
      </c>
    </row>
    <row r="5" spans="1:15" x14ac:dyDescent="0.2">
      <c r="A5" s="38" t="str">
        <f>IF(ISBLANK(TechData!C4),"",TechData!C4)</f>
        <v>Position frontplate [mm]</v>
      </c>
      <c r="B5" s="37">
        <f>IF(ISBLANK(TechData!D4),"",TechData!D4)</f>
        <v>5</v>
      </c>
      <c r="C5" s="37">
        <f>IF(ISBLANK(TechData!E4),"",TechData!E4)</f>
        <v>5</v>
      </c>
      <c r="D5" s="37">
        <f>IF(ISBLANK(TechData!F4),"",TechData!F4)</f>
        <v>5</v>
      </c>
      <c r="E5" s="37">
        <f>IF(ISBLANK(TechData!G4),"",TechData!G4)</f>
        <v>5</v>
      </c>
      <c r="F5" s="37">
        <f>IF(ISBLANK(TechData!H4),"",TechData!H4)</f>
        <v>5</v>
      </c>
      <c r="G5" s="37">
        <f>IF(ISBLANK(TechData!I4),"",TechData!I4)</f>
        <v>5</v>
      </c>
      <c r="H5" s="37">
        <f>IF(ISBLANK(TechData!J4),"",TechData!J4)</f>
        <v>0</v>
      </c>
      <c r="I5" s="37">
        <f>IF(ISBLANK(TechData!K4),"",TechData!K4)</f>
        <v>0</v>
      </c>
      <c r="J5" s="37">
        <f>IF(ISBLANK(TechData!L4),"",TechData!L4)</f>
        <v>-5</v>
      </c>
      <c r="K5" s="37">
        <f>IF(ISBLANK(TechData!M4),"",TechData!M4)</f>
        <v>-5</v>
      </c>
    </row>
    <row r="6" spans="1:15" x14ac:dyDescent="0.2">
      <c r="A6" s="45" t="str">
        <f>IF(ISBLANK(TechData!C5),"",TechData!C5)</f>
        <v>Damper position CS001</v>
      </c>
      <c r="B6" s="46" t="str">
        <f>IF(ISBLANK(TechData!D5),"",TechData!D5)</f>
        <v>100% (open)</v>
      </c>
      <c r="C6" s="46" t="str">
        <f>IF(ISBLANK(TechData!E5),"",TechData!E5)</f>
        <v>100% (open)</v>
      </c>
      <c r="D6" s="46" t="str">
        <f>IF(ISBLANK(TechData!F5),"",TechData!F5)</f>
        <v>100% (open)</v>
      </c>
      <c r="E6" s="46" t="str">
        <f>IF(ISBLANK(TechData!G5),"",TechData!G5)</f>
        <v>100% (open)</v>
      </c>
      <c r="F6" s="46" t="str">
        <f>IF(ISBLANK(TechData!H5),"",TechData!H5)</f>
        <v>100% (open)</v>
      </c>
      <c r="G6" s="46" t="str">
        <f>IF(ISBLANK(TechData!I5),"",TechData!I5)</f>
        <v>100% (open)</v>
      </c>
      <c r="H6" s="46" t="str">
        <f>IF(ISBLANK(TechData!J5),"",TechData!J5)</f>
        <v>100% (open)</v>
      </c>
      <c r="I6" s="46" t="str">
        <f>IF(ISBLANK(TechData!K5),"",TechData!K5)</f>
        <v>100% (open)</v>
      </c>
      <c r="J6" s="46" t="str">
        <f>IF(ISBLANK(TechData!L5),"",TechData!L5)</f>
        <v>100% (open)</v>
      </c>
      <c r="K6" s="46" t="str">
        <f>IF(ISBLANK(TechData!M5),"",TechData!M5)</f>
        <v>100% (open)</v>
      </c>
    </row>
    <row r="7" spans="1:15" ht="15" x14ac:dyDescent="0.25">
      <c r="A7" s="40" t="s">
        <v>2</v>
      </c>
    </row>
    <row r="8" spans="1:15" x14ac:dyDescent="0.2">
      <c r="A8" s="39" t="s">
        <v>40</v>
      </c>
    </row>
    <row r="9" spans="1:15" x14ac:dyDescent="0.2">
      <c r="A9" s="41">
        <v>4</v>
      </c>
      <c r="B9" s="42" t="str">
        <f>IF(ISBLANK(TechData!D15),"",TechData!D15)</f>
        <v/>
      </c>
      <c r="C9" s="42" t="str">
        <f>IF(ISBLANK(TechData!E15),"",TechData!E15)</f>
        <v/>
      </c>
      <c r="D9" s="42" t="str">
        <f>IF(ISBLANK(TechData!F15),"",TechData!F15)</f>
        <v/>
      </c>
      <c r="E9" s="42" t="str">
        <f>IF(ISBLANK(TechData!G15),"",TechData!G15)</f>
        <v/>
      </c>
      <c r="F9" s="42" t="str">
        <f>IF(ISBLANK(TechData!H15),"",TechData!H15)</f>
        <v/>
      </c>
      <c r="G9" s="42" t="str">
        <f>IF(ISBLANK(TechData!I15),"",TechData!I15)</f>
        <v/>
      </c>
      <c r="H9" s="42" t="str">
        <f>IF(ISBLANK(TechData!J15),"",TechData!J15)</f>
        <v/>
      </c>
      <c r="I9" s="42" t="str">
        <f>IF(ISBLANK(TechData!K15),"",TechData!K15)</f>
        <v/>
      </c>
      <c r="J9" s="42" t="str">
        <f>IF(ISBLANK(TechData!L15),"",TechData!L15)</f>
        <v/>
      </c>
      <c r="K9" s="42" t="str">
        <f>IF(ISBLANK(TechData!M15),"",TechData!M15)</f>
        <v/>
      </c>
    </row>
    <row r="10" spans="1:15" x14ac:dyDescent="0.2">
      <c r="A10" s="41">
        <v>6</v>
      </c>
      <c r="B10" s="42" t="str">
        <f>IF(ISBLANK(TechData!D17),"",TechData!D17)</f>
        <v/>
      </c>
      <c r="C10" s="42" t="str">
        <f>IF(ISBLANK(TechData!E17),"",TechData!E17)</f>
        <v/>
      </c>
      <c r="D10" s="42" t="str">
        <f>IF(ISBLANK(TechData!F17),"",TechData!F17)</f>
        <v/>
      </c>
      <c r="E10" s="42" t="str">
        <f>IF(ISBLANK(TechData!G17),"",TechData!G17)</f>
        <v/>
      </c>
      <c r="F10" s="42" t="str">
        <f>IF(ISBLANK(TechData!H17),"",TechData!H17)</f>
        <v/>
      </c>
      <c r="G10" s="42" t="str">
        <f>IF(ISBLANK(TechData!I17),"",TechData!I17)</f>
        <v/>
      </c>
      <c r="H10" s="42" t="str">
        <f>IF(ISBLANK(TechData!J17),"",TechData!J17)</f>
        <v/>
      </c>
      <c r="I10" s="42" t="str">
        <f>IF(ISBLANK(TechData!K17),"",TechData!K17)</f>
        <v/>
      </c>
      <c r="J10" s="42" t="str">
        <f>IF(ISBLANK(TechData!L17),"",TechData!L17)</f>
        <v/>
      </c>
      <c r="K10" s="42" t="str">
        <f>IF(ISBLANK(TechData!M17),"",TechData!M17)</f>
        <v/>
      </c>
    </row>
    <row r="11" spans="1:15" x14ac:dyDescent="0.2">
      <c r="A11" s="41">
        <v>8</v>
      </c>
      <c r="B11" s="42" t="str">
        <f>IF(ISBLANK(TechData!D19),"",TechData!D19)</f>
        <v/>
      </c>
      <c r="C11" s="42" t="str">
        <f>IF(ISBLANK(TechData!E19),"",TechData!E19)</f>
        <v/>
      </c>
      <c r="D11" s="42" t="str">
        <f>IF(ISBLANK(TechData!F19),"",TechData!F19)</f>
        <v/>
      </c>
      <c r="E11" s="42" t="str">
        <f>IF(ISBLANK(TechData!G19),"",TechData!G19)</f>
        <v/>
      </c>
      <c r="F11" s="42" t="str">
        <f>IF(ISBLANK(TechData!H19),"",TechData!H19)</f>
        <v/>
      </c>
      <c r="G11" s="42" t="str">
        <f>IF(ISBLANK(TechData!I19),"",TechData!I19)</f>
        <v/>
      </c>
      <c r="H11" s="42" t="str">
        <f>IF(ISBLANK(TechData!J19),"",TechData!J19)</f>
        <v/>
      </c>
      <c r="I11" s="42" t="str">
        <f>IF(ISBLANK(TechData!K19),"",TechData!K19)</f>
        <v/>
      </c>
      <c r="J11" s="42" t="str">
        <f>IF(ISBLANK(TechData!L19),"",TechData!L19)</f>
        <v/>
      </c>
      <c r="K11" s="42" t="str">
        <f>IF(ISBLANK(TechData!M19),"",TechData!M19)</f>
        <v/>
      </c>
    </row>
    <row r="12" spans="1:15" x14ac:dyDescent="0.2">
      <c r="A12" s="41">
        <v>10</v>
      </c>
      <c r="B12" s="42" t="str">
        <f>IF(ISBLANK(TechData!D21),"",TechData!D21)</f>
        <v/>
      </c>
      <c r="C12" s="42" t="str">
        <f>IF(ISBLANK(TechData!E21),"",TechData!E21)</f>
        <v/>
      </c>
      <c r="D12" s="42" t="str">
        <f>IF(ISBLANK(TechData!F21),"",TechData!F21)</f>
        <v/>
      </c>
      <c r="E12" s="42" t="str">
        <f>IF(ISBLANK(TechData!G21),"",TechData!G21)</f>
        <v/>
      </c>
      <c r="F12" s="42" t="str">
        <f>IF(ISBLANK(TechData!H21),"",TechData!H21)</f>
        <v/>
      </c>
      <c r="G12" s="42" t="str">
        <f>IF(ISBLANK(TechData!I21),"",TechData!I21)</f>
        <v/>
      </c>
      <c r="H12" s="42" t="str">
        <f>IF(ISBLANK(TechData!J21),"",TechData!J21)</f>
        <v/>
      </c>
      <c r="I12" s="42" t="str">
        <f>IF(ISBLANK(TechData!K21),"",TechData!K21)</f>
        <v/>
      </c>
      <c r="J12" s="42" t="str">
        <f>IF(ISBLANK(TechData!L21),"",TechData!L21)</f>
        <v/>
      </c>
      <c r="K12" s="42" t="str">
        <f>IF(ISBLANK(TechData!M21),"",TechData!M21)</f>
        <v/>
      </c>
    </row>
    <row r="13" spans="1:15" x14ac:dyDescent="0.2">
      <c r="A13" s="41">
        <v>12</v>
      </c>
      <c r="B13" s="42" t="str">
        <f>IF(ISBLANK(TechData!D23),"",TechData!D23)</f>
        <v/>
      </c>
      <c r="C13" s="42" t="str">
        <f>IF(ISBLANK(TechData!E23),"",TechData!E23)</f>
        <v/>
      </c>
      <c r="D13" s="42" t="str">
        <f>IF(ISBLANK(TechData!F23),"",TechData!F23)</f>
        <v/>
      </c>
      <c r="E13" s="42" t="str">
        <f>IF(ISBLANK(TechData!G23),"",TechData!G23)</f>
        <v/>
      </c>
      <c r="F13" s="42" t="str">
        <f>IF(ISBLANK(TechData!H23),"",TechData!H23)</f>
        <v/>
      </c>
      <c r="G13" s="42" t="str">
        <f>IF(ISBLANK(TechData!I23),"",TechData!I23)</f>
        <v/>
      </c>
      <c r="H13" s="42" t="str">
        <f>IF(ISBLANK(TechData!J23),"",TechData!J23)</f>
        <v/>
      </c>
      <c r="I13" s="42" t="str">
        <f>IF(ISBLANK(TechData!K23),"",TechData!K23)</f>
        <v/>
      </c>
      <c r="J13" s="42" t="str">
        <f>IF(ISBLANK(TechData!L23),"",TechData!L23)</f>
        <v/>
      </c>
      <c r="K13" s="42" t="str">
        <f>IF(ISBLANK(TechData!M23),"",TechData!M23)</f>
        <v/>
      </c>
    </row>
    <row r="14" spans="1:15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5" ht="15" x14ac:dyDescent="0.25">
      <c r="A15" s="40" t="s">
        <v>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5" x14ac:dyDescent="0.2">
      <c r="A16" s="41">
        <v>4</v>
      </c>
      <c r="B16" s="42" t="str">
        <f>IF(ISBLANK(TechData!D16),"",TechData!D16)</f>
        <v/>
      </c>
      <c r="C16" s="42" t="str">
        <f>IF(ISBLANK(TechData!E16),"",TechData!E16)</f>
        <v/>
      </c>
      <c r="D16" s="42" t="str">
        <f>IF(ISBLANK(TechData!F16),"",TechData!F16)</f>
        <v/>
      </c>
      <c r="E16" s="42" t="str">
        <f>IF(ISBLANK(TechData!G16),"",TechData!G16)</f>
        <v/>
      </c>
      <c r="F16" s="42" t="str">
        <f>IF(ISBLANK(TechData!H16),"",TechData!H16)</f>
        <v/>
      </c>
      <c r="G16" s="42" t="str">
        <f>IF(ISBLANK(TechData!I16),"",TechData!I16)</f>
        <v/>
      </c>
      <c r="H16" s="42" t="str">
        <f>IF(ISBLANK(TechData!J16),"",TechData!J16)</f>
        <v/>
      </c>
      <c r="I16" s="42" t="str">
        <f>IF(ISBLANK(TechData!K16),"",TechData!K16)</f>
        <v/>
      </c>
      <c r="J16" s="42" t="str">
        <f>IF(ISBLANK(TechData!L16),"",TechData!L16)</f>
        <v/>
      </c>
      <c r="K16" s="42" t="str">
        <f>IF(ISBLANK(TechData!M16),"",TechData!M16)</f>
        <v/>
      </c>
    </row>
    <row r="17" spans="1:11" x14ac:dyDescent="0.2">
      <c r="A17" s="41">
        <v>6</v>
      </c>
      <c r="B17" s="42" t="str">
        <f>IF(ISBLANK(TechData!D18),"",TechData!D18)</f>
        <v/>
      </c>
      <c r="C17" s="42" t="str">
        <f>IF(ISBLANK(TechData!E18),"",TechData!E18)</f>
        <v/>
      </c>
      <c r="D17" s="42" t="str">
        <f>IF(ISBLANK(TechData!F18),"",TechData!F18)</f>
        <v/>
      </c>
      <c r="E17" s="42" t="str">
        <f>IF(ISBLANK(TechData!G18),"",TechData!G18)</f>
        <v/>
      </c>
      <c r="F17" s="42" t="str">
        <f>IF(ISBLANK(TechData!H18),"",TechData!H18)</f>
        <v/>
      </c>
      <c r="G17" s="42" t="str">
        <f>IF(ISBLANK(TechData!I18),"",TechData!I18)</f>
        <v/>
      </c>
      <c r="H17" s="42" t="str">
        <f>IF(ISBLANK(TechData!J18),"",TechData!J18)</f>
        <v/>
      </c>
      <c r="I17" s="42" t="str">
        <f>IF(ISBLANK(TechData!K18),"",TechData!K18)</f>
        <v/>
      </c>
      <c r="J17" s="42" t="str">
        <f>IF(ISBLANK(TechData!L18),"",TechData!L18)</f>
        <v/>
      </c>
      <c r="K17" s="42" t="str">
        <f>IF(ISBLANK(TechData!M18),"",TechData!M18)</f>
        <v/>
      </c>
    </row>
    <row r="18" spans="1:11" x14ac:dyDescent="0.2">
      <c r="A18" s="41">
        <v>8</v>
      </c>
      <c r="B18" s="42" t="str">
        <f>IF(ISBLANK(TechData!D20),"",TechData!D20)</f>
        <v/>
      </c>
      <c r="C18" s="42" t="str">
        <f>IF(ISBLANK(TechData!E20),"",TechData!E20)</f>
        <v/>
      </c>
      <c r="D18" s="42" t="str">
        <f>IF(ISBLANK(TechData!F20),"",TechData!F20)</f>
        <v/>
      </c>
      <c r="E18" s="42" t="str">
        <f>IF(ISBLANK(TechData!G20),"",TechData!G20)</f>
        <v/>
      </c>
      <c r="F18" s="42" t="str">
        <f>IF(ISBLANK(TechData!H20),"",TechData!H20)</f>
        <v/>
      </c>
      <c r="G18" s="42" t="str">
        <f>IF(ISBLANK(TechData!I20),"",TechData!I20)</f>
        <v/>
      </c>
      <c r="H18" s="42" t="str">
        <f>IF(ISBLANK(TechData!J20),"",TechData!J20)</f>
        <v/>
      </c>
      <c r="I18" s="42" t="str">
        <f>IF(ISBLANK(TechData!K20),"",TechData!K20)</f>
        <v/>
      </c>
      <c r="J18" s="42" t="str">
        <f>IF(ISBLANK(TechData!L20),"",TechData!L20)</f>
        <v/>
      </c>
      <c r="K18" s="42" t="str">
        <f>IF(ISBLANK(TechData!M20),"",TechData!M20)</f>
        <v/>
      </c>
    </row>
    <row r="19" spans="1:11" x14ac:dyDescent="0.2">
      <c r="A19" s="41">
        <v>10</v>
      </c>
      <c r="B19" s="42" t="str">
        <f>IF(ISBLANK(TechData!D22),"",TechData!D22)</f>
        <v/>
      </c>
      <c r="C19" s="42" t="str">
        <f>IF(ISBLANK(TechData!E22),"",TechData!E22)</f>
        <v/>
      </c>
      <c r="D19" s="42" t="str">
        <f>IF(ISBLANK(TechData!F22),"",TechData!F22)</f>
        <v/>
      </c>
      <c r="E19" s="42" t="str">
        <f>IF(ISBLANK(TechData!G22),"",TechData!G22)</f>
        <v/>
      </c>
      <c r="F19" s="42" t="str">
        <f>IF(ISBLANK(TechData!H22),"",TechData!H22)</f>
        <v/>
      </c>
      <c r="G19" s="42" t="str">
        <f>IF(ISBLANK(TechData!I22),"",TechData!I22)</f>
        <v/>
      </c>
      <c r="H19" s="42" t="str">
        <f>IF(ISBLANK(TechData!J22),"",TechData!J22)</f>
        <v/>
      </c>
      <c r="I19" s="42" t="str">
        <f>IF(ISBLANK(TechData!K22),"",TechData!K22)</f>
        <v/>
      </c>
      <c r="J19" s="42" t="str">
        <f>IF(ISBLANK(TechData!L22),"",TechData!L22)</f>
        <v/>
      </c>
      <c r="K19" s="42" t="str">
        <f>IF(ISBLANK(TechData!M22),"",TechData!M22)</f>
        <v/>
      </c>
    </row>
    <row r="20" spans="1:11" x14ac:dyDescent="0.2">
      <c r="A20" s="41">
        <v>12</v>
      </c>
      <c r="B20" s="42" t="str">
        <f>IF(ISBLANK(TechData!D24),"",TechData!D24)</f>
        <v/>
      </c>
      <c r="C20" s="42" t="str">
        <f>IF(ISBLANK(TechData!E24),"",TechData!E24)</f>
        <v/>
      </c>
      <c r="D20" s="42" t="str">
        <f>IF(ISBLANK(TechData!F24),"",TechData!F24)</f>
        <v/>
      </c>
      <c r="E20" s="42" t="str">
        <f>IF(ISBLANK(TechData!G24),"",TechData!G24)</f>
        <v/>
      </c>
      <c r="F20" s="42" t="str">
        <f>IF(ISBLANK(TechData!H24),"",TechData!H24)</f>
        <v/>
      </c>
      <c r="G20" s="42" t="str">
        <f>IF(ISBLANK(TechData!I24),"",TechData!I24)</f>
        <v/>
      </c>
      <c r="H20" s="42" t="str">
        <f>IF(ISBLANK(TechData!J24),"",TechData!J24)</f>
        <v/>
      </c>
      <c r="I20" s="42" t="str">
        <f>IF(ISBLANK(TechData!K24),"",TechData!K24)</f>
        <v/>
      </c>
      <c r="J20" s="42" t="str">
        <f>IF(ISBLANK(TechData!L24),"",TechData!L24)</f>
        <v/>
      </c>
      <c r="K20" s="42" t="str">
        <f>IF(ISBLANK(TechData!M24),"",TechData!M24)</f>
        <v/>
      </c>
    </row>
    <row r="22" spans="1:11" x14ac:dyDescent="0.2">
      <c r="A22" s="44" t="s">
        <v>41</v>
      </c>
    </row>
    <row r="23" spans="1:11" x14ac:dyDescent="0.2">
      <c r="A23" s="41">
        <f>ABS(SelectionData!$C$5-SelectionData!$C$4)</f>
        <v>0</v>
      </c>
    </row>
    <row r="24" spans="1:11" x14ac:dyDescent="0.2">
      <c r="A24" s="41" t="s">
        <v>47</v>
      </c>
      <c r="B24" s="41" t="str">
        <f ca="1">IF(B9="","",IF($A$23&lt;4,4,IF($A$23&gt;12,10,OFFSET($A$9,MATCH($A$23,$A$9:$A$13)-1,0))))</f>
        <v/>
      </c>
      <c r="C24" s="41" t="str">
        <f t="shared" ref="C24:K24" ca="1" si="0">IF(C9="","",IF($A$23&lt;4,4,IF($A$23&gt;12,10,OFFSET($A$9,MATCH($A$23,$A$9:$A$13)-1,0))))</f>
        <v/>
      </c>
      <c r="D24" s="41" t="str">
        <f t="shared" ca="1" si="0"/>
        <v/>
      </c>
      <c r="E24" s="41" t="str">
        <f t="shared" ca="1" si="0"/>
        <v/>
      </c>
      <c r="F24" s="41" t="str">
        <f t="shared" ca="1" si="0"/>
        <v/>
      </c>
      <c r="G24" s="41" t="str">
        <f t="shared" ca="1" si="0"/>
        <v/>
      </c>
      <c r="H24" s="41" t="str">
        <f t="shared" ca="1" si="0"/>
        <v/>
      </c>
      <c r="I24" s="41" t="str">
        <f t="shared" ca="1" si="0"/>
        <v/>
      </c>
      <c r="J24" s="41" t="str">
        <f t="shared" ca="1" si="0"/>
        <v/>
      </c>
      <c r="K24" s="41" t="str">
        <f t="shared" ca="1" si="0"/>
        <v/>
      </c>
    </row>
    <row r="25" spans="1:11" x14ac:dyDescent="0.2">
      <c r="A25" s="41" t="s">
        <v>46</v>
      </c>
      <c r="B25" s="41" t="str">
        <f ca="1">IF(B9="","",IF($A$23&lt;4,6,IF($A$23&gt;12,12,OFFSET($A$9,MATCH($A$23,$A$9:$A$13),0))))</f>
        <v/>
      </c>
      <c r="C25" s="41" t="str">
        <f t="shared" ref="C25:K25" ca="1" si="1">IF(C9="","",IF($A$23&lt;4,6,IF($A$23&gt;12,12,OFFSET($A$9,MATCH($A$23,$A$9:$A$13),0))))</f>
        <v/>
      </c>
      <c r="D25" s="41" t="str">
        <f t="shared" ca="1" si="1"/>
        <v/>
      </c>
      <c r="E25" s="41" t="str">
        <f t="shared" ca="1" si="1"/>
        <v/>
      </c>
      <c r="F25" s="41" t="str">
        <f t="shared" ca="1" si="1"/>
        <v/>
      </c>
      <c r="G25" s="41" t="str">
        <f t="shared" ca="1" si="1"/>
        <v/>
      </c>
      <c r="H25" s="41" t="str">
        <f t="shared" ca="1" si="1"/>
        <v/>
      </c>
      <c r="I25" s="41" t="str">
        <f t="shared" ca="1" si="1"/>
        <v/>
      </c>
      <c r="J25" s="41" t="str">
        <f t="shared" ca="1" si="1"/>
        <v/>
      </c>
      <c r="K25" s="41" t="str">
        <f t="shared" ca="1" si="1"/>
        <v/>
      </c>
    </row>
    <row r="26" spans="1:11" x14ac:dyDescent="0.2">
      <c r="A26" s="41" t="s">
        <v>42</v>
      </c>
      <c r="B26" s="41" t="str">
        <f ca="1">IF(B9="","",IF($A$23&lt;4,B9,IF($A$23&gt;12,B12,OFFSET(B$9,MATCH($A$23,$A$9:$A$13)-1,0))))</f>
        <v/>
      </c>
      <c r="C26" s="41" t="str">
        <f t="shared" ref="C26:K26" ca="1" si="2">IF(C9="","",IF($A$23&lt;4,C9,IF($A$23&gt;12,C12,OFFSET(C$9,MATCH($A$23,$A$9:$A$13)-1,0))))</f>
        <v/>
      </c>
      <c r="D26" s="41" t="str">
        <f t="shared" ca="1" si="2"/>
        <v/>
      </c>
      <c r="E26" s="41" t="str">
        <f t="shared" ca="1" si="2"/>
        <v/>
      </c>
      <c r="F26" s="41" t="str">
        <f t="shared" ca="1" si="2"/>
        <v/>
      </c>
      <c r="G26" s="41" t="str">
        <f t="shared" ca="1" si="2"/>
        <v/>
      </c>
      <c r="H26" s="41" t="str">
        <f t="shared" ca="1" si="2"/>
        <v/>
      </c>
      <c r="I26" s="41" t="str">
        <f t="shared" ca="1" si="2"/>
        <v/>
      </c>
      <c r="J26" s="41" t="str">
        <f t="shared" ca="1" si="2"/>
        <v/>
      </c>
      <c r="K26" s="41" t="str">
        <f t="shared" ca="1" si="2"/>
        <v/>
      </c>
    </row>
    <row r="27" spans="1:11" x14ac:dyDescent="0.2">
      <c r="A27" s="41" t="s">
        <v>43</v>
      </c>
      <c r="B27" s="41" t="str">
        <f ca="1">IF(B9="","",IF($A$23&lt;4,B10,IF($A$23&gt;12,B13,OFFSET(B$9,MATCH($A$23,$A$9:$A$13),0))))</f>
        <v/>
      </c>
      <c r="C27" s="41" t="str">
        <f t="shared" ref="C27:K27" ca="1" si="3">IF(C9="","",IF($A$23&lt;4,C10,IF($A$23&gt;12,C13,OFFSET(C$9,MATCH($A$23,$A$9:$A$13),0))))</f>
        <v/>
      </c>
      <c r="D27" s="41" t="str">
        <f t="shared" ca="1" si="3"/>
        <v/>
      </c>
      <c r="E27" s="41" t="str">
        <f t="shared" ca="1" si="3"/>
        <v/>
      </c>
      <c r="F27" s="41" t="str">
        <f t="shared" ca="1" si="3"/>
        <v/>
      </c>
      <c r="G27" s="41" t="str">
        <f t="shared" ca="1" si="3"/>
        <v/>
      </c>
      <c r="H27" s="41" t="str">
        <f t="shared" ca="1" si="3"/>
        <v/>
      </c>
      <c r="I27" s="41" t="str">
        <f t="shared" ca="1" si="3"/>
        <v/>
      </c>
      <c r="J27" s="41" t="str">
        <f t="shared" ca="1" si="3"/>
        <v/>
      </c>
      <c r="K27" s="41" t="str">
        <f t="shared" ca="1" si="3"/>
        <v/>
      </c>
    </row>
    <row r="28" spans="1:11" x14ac:dyDescent="0.2">
      <c r="A28" s="41" t="s">
        <v>44</v>
      </c>
      <c r="B28" s="41" t="str">
        <f ca="1">IF(B16="","",IF($A$23&lt;4,B16,IF($A$23&gt;12,B19,OFFSET(B$16,MATCH($A$23,$A$16:$A$20)-1,0))))</f>
        <v/>
      </c>
      <c r="C28" s="41" t="str">
        <f t="shared" ref="C28:K28" ca="1" si="4">IF(C16="","",IF($A$23&lt;4,C16,IF($A$23&gt;12,C19,OFFSET(C$16,MATCH($A$23,$A$16:$A$20)-1,0))))</f>
        <v/>
      </c>
      <c r="D28" s="41" t="str">
        <f t="shared" ca="1" si="4"/>
        <v/>
      </c>
      <c r="E28" s="41" t="str">
        <f t="shared" ca="1" si="4"/>
        <v/>
      </c>
      <c r="F28" s="41" t="str">
        <f t="shared" ca="1" si="4"/>
        <v/>
      </c>
      <c r="G28" s="41" t="str">
        <f t="shared" ca="1" si="4"/>
        <v/>
      </c>
      <c r="H28" s="41" t="str">
        <f t="shared" ca="1" si="4"/>
        <v/>
      </c>
      <c r="I28" s="41" t="str">
        <f t="shared" ca="1" si="4"/>
        <v/>
      </c>
      <c r="J28" s="41" t="str">
        <f t="shared" ca="1" si="4"/>
        <v/>
      </c>
      <c r="K28" s="41" t="str">
        <f t="shared" ca="1" si="4"/>
        <v/>
      </c>
    </row>
    <row r="29" spans="1:11" x14ac:dyDescent="0.2">
      <c r="A29" s="41" t="s">
        <v>45</v>
      </c>
      <c r="B29" s="41" t="str">
        <f ca="1">IF(B16="","",IF($A$23&lt;4,B17,IF($A$23&gt;12,B20,OFFSET(B$16,MATCH($A$23,$A$16:$A$20),0))))</f>
        <v/>
      </c>
      <c r="C29" s="41" t="str">
        <f t="shared" ref="C29:K29" ca="1" si="5">IF(C16="","",IF($A$23&lt;4,C17,IF($A$23&gt;12,C20,OFFSET(C$16,MATCH($A$23,$A$16:$A$20),0))))</f>
        <v/>
      </c>
      <c r="D29" s="41" t="str">
        <f t="shared" ca="1" si="5"/>
        <v/>
      </c>
      <c r="E29" s="41" t="str">
        <f t="shared" ca="1" si="5"/>
        <v/>
      </c>
      <c r="F29" s="41" t="str">
        <f t="shared" ca="1" si="5"/>
        <v/>
      </c>
      <c r="G29" s="41" t="str">
        <f t="shared" ca="1" si="5"/>
        <v/>
      </c>
      <c r="H29" s="41" t="str">
        <f t="shared" ca="1" si="5"/>
        <v/>
      </c>
      <c r="I29" s="41" t="str">
        <f t="shared" ca="1" si="5"/>
        <v/>
      </c>
      <c r="J29" s="41" t="str">
        <f t="shared" ca="1" si="5"/>
        <v/>
      </c>
      <c r="K29" s="41" t="str">
        <f t="shared" ca="1" si="5"/>
        <v/>
      </c>
    </row>
  </sheetData>
  <sheetProtection algorithmName="SHA-512" hashValue="LibIqYRiGMWSv9ZmzB5CzV5rNdotWOafrGNPZ1wS2ZG9xSJ90Bogtdin9N38gic9bmHnMnC7yLGyuuNrulxZCA==" saltValue="XLcqE4BwAQo3G4ZmYeKNV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D48654B54554390186499E0651E86" ma:contentTypeVersion="10" ma:contentTypeDescription="Een nieuw document maken." ma:contentTypeScope="" ma:versionID="886eb9702c8b66813f5af07540914393">
  <xsd:schema xmlns:xsd="http://www.w3.org/2001/XMLSchema" xmlns:xs="http://www.w3.org/2001/XMLSchema" xmlns:p="http://schemas.microsoft.com/office/2006/metadata/properties" xmlns:ns2="c7f60283-def7-45c8-be52-19224b596703" targetNamespace="http://schemas.microsoft.com/office/2006/metadata/properties" ma:root="true" ma:fieldsID="24299150a9e11f678e88fbf84013d6a2" ns2:_="">
    <xsd:import namespace="c7f60283-def7-45c8-be52-19224b5967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60283-def7-45c8-be52-19224b596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9E511-3E49-4740-A496-5904727C9E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722829-B73D-4669-9D53-A854934376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F2B764-CC17-4422-9B27-B57EC7630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f60283-def7-45c8-be52-19224b5967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SelectionData</vt:lpstr>
      <vt:lpstr>units</vt:lpstr>
      <vt:lpstr>TechData</vt:lpstr>
      <vt:lpstr>IntermediateCalcul</vt:lpstr>
      <vt:lpstr>units</vt:lpstr>
    </vt:vector>
  </TitlesOfParts>
  <Company>Grada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De Clercq</dc:creator>
  <cp:lastModifiedBy>Sven Braem</cp:lastModifiedBy>
  <cp:lastPrinted>2016-03-10T08:29:09Z</cp:lastPrinted>
  <dcterms:created xsi:type="dcterms:W3CDTF">2015-05-07T08:41:20Z</dcterms:created>
  <dcterms:modified xsi:type="dcterms:W3CDTF">2022-05-18T12:30:45Z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0x010100F4CD48654B54554390186499E0651E86</vt:lpwstr>
  </property>
</Properties>
</file>